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kenne\Desktop\"/>
    </mc:Choice>
  </mc:AlternateContent>
  <xr:revisionPtr revIDLastSave="0" documentId="8_{F31AE8F9-7A60-423D-BAFE-1960333D7AB4}" xr6:coauthVersionLast="43" xr6:coauthVersionMax="43" xr10:uidLastSave="{00000000-0000-0000-0000-000000000000}"/>
  <bookViews>
    <workbookView xWindow="-108" yWindow="-108" windowWidth="23256" windowHeight="12576" firstSheet="16" activeTab="24" xr2:uid="{00000000-000D-0000-FFFF-FFFF00000000}"/>
  </bookViews>
  <sheets>
    <sheet name="Jun 15Final" sheetId="27" r:id="rId1"/>
    <sheet name="Jun 15" sheetId="25" r:id="rId2"/>
    <sheet name="Jun Recon" sheetId="26" r:id="rId3"/>
    <sheet name="MM Jun15" sheetId="57" r:id="rId4"/>
    <sheet name="May 15" sheetId="23" r:id="rId5"/>
    <sheet name="May Recon" sheetId="24" r:id="rId6"/>
    <sheet name="MM May15" sheetId="56" r:id="rId7"/>
    <sheet name="Apr 15" sheetId="21" r:id="rId8"/>
    <sheet name="Apr Recon" sheetId="22" r:id="rId9"/>
    <sheet name="MM Apr15" sheetId="55" r:id="rId10"/>
    <sheet name="Mar 15" sheetId="19" r:id="rId11"/>
    <sheet name="Mar Recon" sheetId="20" r:id="rId12"/>
    <sheet name="MM Mar15" sheetId="54" r:id="rId13"/>
    <sheet name="Feb15" sheetId="17" r:id="rId14"/>
    <sheet name="Feb Recon" sheetId="18" r:id="rId15"/>
    <sheet name="MM Feb15" sheetId="53" r:id="rId16"/>
    <sheet name="Jan15" sheetId="15" r:id="rId17"/>
    <sheet name="Jan Recon" sheetId="16" r:id="rId18"/>
    <sheet name="MM Jan15" sheetId="52" r:id="rId19"/>
    <sheet name="Dec14" sheetId="13" r:id="rId20"/>
    <sheet name="Dec Recon" sheetId="14" r:id="rId21"/>
    <sheet name="MM Dec14" sheetId="51" r:id="rId22"/>
    <sheet name="Nov14" sheetId="11" r:id="rId23"/>
    <sheet name="Nov Recon" sheetId="12" r:id="rId24"/>
    <sheet name="MM Nov14" sheetId="50" r:id="rId25"/>
    <sheet name="Oct 14" sheetId="9" r:id="rId26"/>
    <sheet name="Oct Recon" sheetId="10" r:id="rId27"/>
    <sheet name="MM Oct14" sheetId="49" r:id="rId28"/>
    <sheet name="Sep 14" sheetId="7" r:id="rId29"/>
    <sheet name="Sep Recon" sheetId="8" r:id="rId30"/>
    <sheet name="MM Sep14" sheetId="48" r:id="rId31"/>
    <sheet name="Aug 14" sheetId="5" r:id="rId32"/>
    <sheet name="Aug Recon" sheetId="6" r:id="rId33"/>
    <sheet name="MM Aug14" sheetId="47" r:id="rId34"/>
    <sheet name="July14" sheetId="3" r:id="rId35"/>
    <sheet name="July Recon" sheetId="4" r:id="rId36"/>
    <sheet name="MM JUL14" sheetId="46" r:id="rId37"/>
    <sheet name="June14" sheetId="1" r:id="rId38"/>
    <sheet name="June Recon" sheetId="2" r:id="rId39"/>
    <sheet name="MM JUN14" sheetId="45" r:id="rId40"/>
    <sheet name="Cash Update" sheetId="28" r:id="rId41"/>
    <sheet name="May14" sheetId="29" r:id="rId42"/>
    <sheet name="May 14 Recon" sheetId="30" r:id="rId43"/>
    <sheet name="MM May14" sheetId="44" r:id="rId44"/>
    <sheet name="Apr14" sheetId="31" r:id="rId45"/>
    <sheet name="Apr14 Recon" sheetId="32" r:id="rId46"/>
    <sheet name="MM Apr14" sheetId="43" r:id="rId47"/>
    <sheet name="Mar14" sheetId="33" r:id="rId48"/>
    <sheet name="Mar14 Recon" sheetId="34" r:id="rId49"/>
    <sheet name="MM Mar14" sheetId="42" r:id="rId50"/>
    <sheet name="FEB14" sheetId="35" r:id="rId51"/>
    <sheet name="Feb14 Recon" sheetId="36" r:id="rId52"/>
    <sheet name="MM Feb14" sheetId="41" r:id="rId53"/>
    <sheet name="JAN14" sheetId="37" r:id="rId54"/>
    <sheet name="Jan14 Recon" sheetId="38" r:id="rId55"/>
    <sheet name="MM Jan14" sheetId="40" r:id="rId56"/>
    <sheet name="MM Dec13" sheetId="39" r:id="rId57"/>
  </sheets>
  <externalReferences>
    <externalReference r:id="rId58"/>
    <externalReference r:id="rId59"/>
  </externalReferences>
  <definedNames>
    <definedName name="A" localSheetId="46">#REF!</definedName>
    <definedName name="A" localSheetId="9">#REF!</definedName>
    <definedName name="A" localSheetId="33">#REF!</definedName>
    <definedName name="A" localSheetId="21">#REF!</definedName>
    <definedName name="A" localSheetId="52">#REF!</definedName>
    <definedName name="A" localSheetId="15">#REF!</definedName>
    <definedName name="A" localSheetId="55">#REF!</definedName>
    <definedName name="A" localSheetId="18">#REF!</definedName>
    <definedName name="A" localSheetId="36">#REF!</definedName>
    <definedName name="A" localSheetId="39">#REF!</definedName>
    <definedName name="A" localSheetId="3">#REF!</definedName>
    <definedName name="A" localSheetId="49">#REF!</definedName>
    <definedName name="A" localSheetId="12">#REF!</definedName>
    <definedName name="A" localSheetId="43">#REF!</definedName>
    <definedName name="A" localSheetId="6">#REF!</definedName>
    <definedName name="A" localSheetId="24">#REF!</definedName>
    <definedName name="A" localSheetId="27">#REF!</definedName>
    <definedName name="A" localSheetId="30">#REF!</definedName>
    <definedName name="A">#REF!</definedName>
    <definedName name="Cpoy" localSheetId="46">#REF!</definedName>
    <definedName name="Cpoy" localSheetId="9">#REF!</definedName>
    <definedName name="Cpoy" localSheetId="33">#REF!</definedName>
    <definedName name="Cpoy" localSheetId="21">#REF!</definedName>
    <definedName name="Cpoy" localSheetId="52">#REF!</definedName>
    <definedName name="Cpoy" localSheetId="15">#REF!</definedName>
    <definedName name="Cpoy" localSheetId="55">#REF!</definedName>
    <definedName name="Cpoy" localSheetId="18">#REF!</definedName>
    <definedName name="Cpoy" localSheetId="36">#REF!</definedName>
    <definedName name="Cpoy" localSheetId="39">#REF!</definedName>
    <definedName name="Cpoy" localSheetId="3">#REF!</definedName>
    <definedName name="Cpoy" localSheetId="49">#REF!</definedName>
    <definedName name="Cpoy" localSheetId="12">#REF!</definedName>
    <definedName name="Cpoy" localSheetId="43">#REF!</definedName>
    <definedName name="Cpoy" localSheetId="6">#REF!</definedName>
    <definedName name="Cpoy" localSheetId="24">#REF!</definedName>
    <definedName name="Cpoy" localSheetId="27">#REF!</definedName>
    <definedName name="Cpoy" localSheetId="30">#REF!</definedName>
    <definedName name="Cpoy">#REF!</definedName>
    <definedName name="escape" localSheetId="46">#REF!</definedName>
    <definedName name="escape" localSheetId="9">#REF!</definedName>
    <definedName name="escape" localSheetId="33">#REF!</definedName>
    <definedName name="escape" localSheetId="21">#REF!</definedName>
    <definedName name="escape" localSheetId="52">#REF!</definedName>
    <definedName name="escape" localSheetId="15">#REF!</definedName>
    <definedName name="escape" localSheetId="55">#REF!</definedName>
    <definedName name="escape" localSheetId="18">#REF!</definedName>
    <definedName name="escape" localSheetId="36">#REF!</definedName>
    <definedName name="escape" localSheetId="39">#REF!</definedName>
    <definedName name="escape" localSheetId="3">#REF!</definedName>
    <definedName name="escape" localSheetId="49">#REF!</definedName>
    <definedName name="escape" localSheetId="12">#REF!</definedName>
    <definedName name="escape" localSheetId="43">#REF!</definedName>
    <definedName name="escape" localSheetId="6">#REF!</definedName>
    <definedName name="escape" localSheetId="24">#REF!</definedName>
    <definedName name="escape" localSheetId="27">#REF!</definedName>
    <definedName name="escape" localSheetId="30">#REF!</definedName>
    <definedName name="escape">#REF!</definedName>
    <definedName name="new" localSheetId="46">#REF!</definedName>
    <definedName name="new" localSheetId="9">#REF!</definedName>
    <definedName name="new" localSheetId="33">#REF!</definedName>
    <definedName name="new" localSheetId="21">#REF!</definedName>
    <definedName name="new" localSheetId="52">#REF!</definedName>
    <definedName name="new" localSheetId="15">#REF!</definedName>
    <definedName name="new" localSheetId="55">#REF!</definedName>
    <definedName name="new" localSheetId="18">#REF!</definedName>
    <definedName name="new" localSheetId="36">#REF!</definedName>
    <definedName name="new" localSheetId="39">#REF!</definedName>
    <definedName name="new" localSheetId="3">#REF!</definedName>
    <definedName name="new" localSheetId="49">#REF!</definedName>
    <definedName name="new" localSheetId="12">#REF!</definedName>
    <definedName name="new" localSheetId="43">#REF!</definedName>
    <definedName name="new" localSheetId="6">#REF!</definedName>
    <definedName name="new" localSheetId="24">#REF!</definedName>
    <definedName name="new" localSheetId="27">#REF!</definedName>
    <definedName name="new" localSheetId="30">#REF!</definedName>
    <definedName name="new">#REF!</definedName>
    <definedName name="Ok" localSheetId="46">#REF!</definedName>
    <definedName name="Ok" localSheetId="9">#REF!</definedName>
    <definedName name="Ok" localSheetId="33">#REF!</definedName>
    <definedName name="Ok" localSheetId="56">#REF!</definedName>
    <definedName name="Ok" localSheetId="21">#REF!</definedName>
    <definedName name="Ok" localSheetId="52">#REF!</definedName>
    <definedName name="Ok" localSheetId="15">#REF!</definedName>
    <definedName name="Ok" localSheetId="55">#REF!</definedName>
    <definedName name="Ok" localSheetId="18">#REF!</definedName>
    <definedName name="Ok" localSheetId="36">#REF!</definedName>
    <definedName name="Ok" localSheetId="39">#REF!</definedName>
    <definedName name="Ok" localSheetId="3">#REF!</definedName>
    <definedName name="Ok" localSheetId="49">#REF!</definedName>
    <definedName name="Ok" localSheetId="12">#REF!</definedName>
    <definedName name="Ok" localSheetId="43">#REF!</definedName>
    <definedName name="Ok" localSheetId="6">#REF!</definedName>
    <definedName name="Ok" localSheetId="24">#REF!</definedName>
    <definedName name="Ok" localSheetId="27">#REF!</definedName>
    <definedName name="Ok" localSheetId="30">#REF!</definedName>
    <definedName name="Ok">#REF!</definedName>
    <definedName name="PRINT" localSheetId="46">#REF!</definedName>
    <definedName name="PRINT" localSheetId="9">#REF!</definedName>
    <definedName name="PRINT" localSheetId="33">#REF!</definedName>
    <definedName name="PRINT" localSheetId="56">#REF!</definedName>
    <definedName name="PRINT" localSheetId="21">#REF!</definedName>
    <definedName name="PRINT" localSheetId="52">#REF!</definedName>
    <definedName name="PRINT" localSheetId="15">#REF!</definedName>
    <definedName name="PRINT" localSheetId="55">#REF!</definedName>
    <definedName name="PRINT" localSheetId="18">#REF!</definedName>
    <definedName name="PRINT" localSheetId="36">#REF!</definedName>
    <definedName name="PRINT" localSheetId="39">#REF!</definedName>
    <definedName name="PRINT" localSheetId="3">#REF!</definedName>
    <definedName name="PRINT" localSheetId="49">#REF!</definedName>
    <definedName name="PRINT" localSheetId="12">#REF!</definedName>
    <definedName name="PRINT" localSheetId="43">#REF!</definedName>
    <definedName name="PRINT" localSheetId="6">#REF!</definedName>
    <definedName name="PRINT" localSheetId="24">#REF!</definedName>
    <definedName name="PRINT" localSheetId="27">#REF!</definedName>
    <definedName name="PRINT" localSheetId="30">#REF!</definedName>
    <definedName name="PRINT">#REF!</definedName>
    <definedName name="_xlnm.Print_Area" localSheetId="7">'Apr 15'!$A$1:$F$42</definedName>
    <definedName name="_xlnm.Print_Area" localSheetId="8">'Apr Recon'!$A$1:$F$35</definedName>
    <definedName name="_xlnm.Print_Area" localSheetId="44">'Apr14'!$A$1:$F$38</definedName>
    <definedName name="_xlnm.Print_Area" localSheetId="45">'Apr14 Recon'!$A$1:$F$29</definedName>
    <definedName name="_xlnm.Print_Area" localSheetId="31">'Aug 14'!$A$1:$F$42</definedName>
    <definedName name="_xlnm.Print_Area" localSheetId="32">'Aug Recon'!$A$1:$F$33</definedName>
    <definedName name="_xlnm.Print_Area" localSheetId="40">'Cash Update'!$A$1:$F$12</definedName>
    <definedName name="_xlnm.Print_Area" localSheetId="20">'Dec Recon'!$A$1:$F$35</definedName>
    <definedName name="_xlnm.Print_Area" localSheetId="19">'Dec14'!$A$1:$F$41</definedName>
    <definedName name="_xlnm.Print_Area" localSheetId="14">'Feb Recon'!$A$1:$F$35</definedName>
    <definedName name="_xlnm.Print_Area" localSheetId="50">'FEB14'!$A$1:$F$38</definedName>
    <definedName name="_xlnm.Print_Area" localSheetId="51">'Feb14 Recon'!$A$1:$F$29</definedName>
    <definedName name="_xlnm.Print_Area" localSheetId="13">'Feb15'!$A$1:$F$43</definedName>
    <definedName name="_xlnm.Print_Area" localSheetId="17">'Jan Recon'!$A$1:$F$35</definedName>
    <definedName name="_xlnm.Print_Area" localSheetId="53">'JAN14'!$A$1:$F$38</definedName>
    <definedName name="_xlnm.Print_Area" localSheetId="54">'Jan14 Recon'!$A$1:$F$29</definedName>
    <definedName name="_xlnm.Print_Area" localSheetId="16">'Jan15'!$A$1:$F$41</definedName>
    <definedName name="_xlnm.Print_Area" localSheetId="35">'July Recon'!$A$1:$F$33</definedName>
    <definedName name="_xlnm.Print_Area" localSheetId="34">July14!$A$1:$F$42</definedName>
    <definedName name="_xlnm.Print_Area" localSheetId="1">'Jun 15'!$A$1:$F$42</definedName>
    <definedName name="_xlnm.Print_Area" localSheetId="0">'Jun 15Final'!$A$1:$F$42</definedName>
    <definedName name="_xlnm.Print_Area" localSheetId="2">'Jun Recon'!$A$1:$F$35</definedName>
    <definedName name="_xlnm.Print_Area" localSheetId="38">'June Recon'!$A$1:$F$31</definedName>
    <definedName name="_xlnm.Print_Area" localSheetId="37">June14!$A$1:$F$42</definedName>
    <definedName name="_xlnm.Print_Area" localSheetId="10">'Mar 15'!$A$1:$F$42</definedName>
    <definedName name="_xlnm.Print_Area" localSheetId="11">'Mar Recon'!$A$1:$F$35</definedName>
    <definedName name="_xlnm.Print_Area" localSheetId="47">'Mar14'!$A$1:$F$38</definedName>
    <definedName name="_xlnm.Print_Area" localSheetId="48">'Mar14 Recon'!$A$1:$F$29</definedName>
    <definedName name="_xlnm.Print_Area" localSheetId="42">'May 14 Recon'!$A$1:$F$29</definedName>
    <definedName name="_xlnm.Print_Area" localSheetId="4">'May 15'!$A$1:$F$42</definedName>
    <definedName name="_xlnm.Print_Area" localSheetId="5">'May Recon'!$A$1:$F$35</definedName>
    <definedName name="_xlnm.Print_Area" localSheetId="41">'May14'!$A$1:$F$38</definedName>
    <definedName name="_xlnm.Print_Area" localSheetId="46">'MM Apr14'!$A$1:$H$38</definedName>
    <definedName name="_xlnm.Print_Area" localSheetId="9">'MM Apr15'!$A$1:$H$38</definedName>
    <definedName name="_xlnm.Print_Area" localSheetId="33">'MM Aug14'!$A$1:$H$38</definedName>
    <definedName name="_xlnm.Print_Area" localSheetId="56">'MM Dec13'!$A$1:$H$38</definedName>
    <definedName name="_xlnm.Print_Area" localSheetId="21">'MM Dec14'!$A$1:$H$38</definedName>
    <definedName name="_xlnm.Print_Area" localSheetId="52">'MM Feb14'!$A$1:$H$38</definedName>
    <definedName name="_xlnm.Print_Area" localSheetId="15">'MM Feb15'!$A$1:$H$38</definedName>
    <definedName name="_xlnm.Print_Area" localSheetId="55">'MM Jan14'!$A$1:$H$38</definedName>
    <definedName name="_xlnm.Print_Area" localSheetId="18">'MM Jan15'!$A$1:$H$38</definedName>
    <definedName name="_xlnm.Print_Area" localSheetId="36">'MM JUL14'!$A$1:$H$38</definedName>
    <definedName name="_xlnm.Print_Area" localSheetId="39">'MM JUN14'!$A$1:$H$38</definedName>
    <definedName name="_xlnm.Print_Area" localSheetId="3">'MM Jun15'!$A$1:$H$38</definedName>
    <definedName name="_xlnm.Print_Area" localSheetId="49">'MM Mar14'!$A$1:$H$38</definedName>
    <definedName name="_xlnm.Print_Area" localSheetId="12">'MM Mar15'!$A$1:$H$38</definedName>
    <definedName name="_xlnm.Print_Area" localSheetId="43">'MM May14'!$A$1:$H$38</definedName>
    <definedName name="_xlnm.Print_Area" localSheetId="6">'MM May15'!$A$1:$H$38</definedName>
    <definedName name="_xlnm.Print_Area" localSheetId="24">'MM Nov14'!$A$1:$H$38</definedName>
    <definedName name="_xlnm.Print_Area" localSheetId="27">'MM Oct14'!$A$1:$H$38</definedName>
    <definedName name="_xlnm.Print_Area" localSheetId="30">'MM Sep14'!$A$1:$H$38</definedName>
    <definedName name="_xlnm.Print_Area" localSheetId="23">'Nov Recon'!$A$1:$F$34</definedName>
    <definedName name="_xlnm.Print_Area" localSheetId="22">'Nov14'!$A$1:$F$42</definedName>
    <definedName name="_xlnm.Print_Area" localSheetId="25">'Oct 14'!$A$1:$F$42</definedName>
    <definedName name="_xlnm.Print_Area" localSheetId="26">'Oct Recon'!$A$1:$F$34</definedName>
    <definedName name="_xlnm.Print_Area" localSheetId="28">'Sep 14'!$A$1:$F$42</definedName>
    <definedName name="_xlnm.Print_Area" localSheetId="29">'Sep Recon'!$A$1:$F$34</definedName>
    <definedName name="PRINT2">'[1]FEB. 1998'!$A$1:$E$43</definedName>
    <definedName name="TIT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8" i="57" l="1"/>
  <c r="B33" i="57"/>
  <c r="B32" i="57"/>
  <c r="G26" i="57"/>
  <c r="G20" i="57"/>
  <c r="G28" i="57" l="1"/>
  <c r="B34" i="57"/>
  <c r="D32" i="57" s="1"/>
  <c r="E32" i="57" l="1"/>
  <c r="E33" i="57" s="1"/>
  <c r="D33" i="57"/>
  <c r="D34" i="57" s="1"/>
  <c r="G34" i="57" l="1"/>
  <c r="G33" i="57"/>
  <c r="B33" i="56" l="1"/>
  <c r="B38" i="56" s="1"/>
  <c r="B32" i="56"/>
  <c r="G26" i="56"/>
  <c r="G20" i="56"/>
  <c r="G28" i="56" s="1"/>
  <c r="B34" i="56" l="1"/>
  <c r="D32" i="56" s="1"/>
  <c r="D33" i="56"/>
  <c r="E32" i="56" l="1"/>
  <c r="E33" i="56" s="1"/>
  <c r="D34" i="56"/>
  <c r="G33" i="56" l="1"/>
  <c r="G34" i="56"/>
  <c r="B33" i="55" l="1"/>
  <c r="B38" i="55" s="1"/>
  <c r="B32" i="55"/>
  <c r="B34" i="55" s="1"/>
  <c r="D33" i="55" s="1"/>
  <c r="G26" i="55"/>
  <c r="G20" i="55"/>
  <c r="G28" i="55" s="1"/>
  <c r="D32" i="55" l="1"/>
  <c r="E32" i="55" l="1"/>
  <c r="E33" i="55" s="1"/>
  <c r="D34" i="55"/>
  <c r="G33" i="55" l="1"/>
  <c r="G34" i="55"/>
  <c r="B33" i="54" l="1"/>
  <c r="B38" i="54" s="1"/>
  <c r="B32" i="54"/>
  <c r="G26" i="54"/>
  <c r="G20" i="54"/>
  <c r="G28" i="54" s="1"/>
  <c r="B34" i="54" l="1"/>
  <c r="D32" i="54" s="1"/>
  <c r="D33" i="54"/>
  <c r="E32" i="54" l="1"/>
  <c r="E33" i="54" s="1"/>
  <c r="D34" i="54"/>
  <c r="G33" i="54" l="1"/>
  <c r="G34" i="54"/>
  <c r="B33" i="53" l="1"/>
  <c r="B38" i="53" s="1"/>
  <c r="B32" i="53"/>
  <c r="G28" i="53"/>
  <c r="G26" i="53"/>
  <c r="G20" i="53"/>
  <c r="B34" i="53" l="1"/>
  <c r="D32" i="53" s="1"/>
  <c r="E32" i="53" s="1"/>
  <c r="E33" i="53" s="1"/>
  <c r="D33" i="53"/>
  <c r="D34" i="53" l="1"/>
  <c r="G33" i="53"/>
  <c r="G34" i="53"/>
  <c r="B33" i="52" l="1"/>
  <c r="B38" i="52" s="1"/>
  <c r="B32" i="52"/>
  <c r="G26" i="52"/>
  <c r="G28" i="52" s="1"/>
  <c r="G20" i="52"/>
  <c r="B34" i="52" l="1"/>
  <c r="D32" i="52" s="1"/>
  <c r="E32" i="52" l="1"/>
  <c r="E33" i="52" s="1"/>
  <c r="D33" i="52"/>
  <c r="D34" i="52" s="1"/>
  <c r="G33" i="52" l="1"/>
  <c r="G34" i="52"/>
  <c r="B33" i="51" l="1"/>
  <c r="B38" i="51" s="1"/>
  <c r="B32" i="51"/>
  <c r="G26" i="51"/>
  <c r="G28" i="51" s="1"/>
  <c r="G20" i="51"/>
  <c r="B34" i="51" l="1"/>
  <c r="D32" i="51" s="1"/>
  <c r="D33" i="51"/>
  <c r="E32" i="51" l="1"/>
  <c r="E33" i="51" s="1"/>
  <c r="D34" i="51"/>
  <c r="G33" i="51" l="1"/>
  <c r="G34" i="51"/>
  <c r="B33" i="50" l="1"/>
  <c r="B38" i="50" s="1"/>
  <c r="B32" i="50"/>
  <c r="G26" i="50"/>
  <c r="G28" i="50" s="1"/>
  <c r="G20" i="50"/>
  <c r="B34" i="50" l="1"/>
  <c r="D32" i="50" s="1"/>
  <c r="D33" i="50" l="1"/>
  <c r="E32" i="50"/>
  <c r="E33" i="50" s="1"/>
  <c r="D34" i="50"/>
  <c r="G33" i="50" l="1"/>
  <c r="G34" i="50"/>
  <c r="B33" i="49" l="1"/>
  <c r="B38" i="49" s="1"/>
  <c r="B32" i="49"/>
  <c r="G26" i="49"/>
  <c r="G28" i="49" s="1"/>
  <c r="G20" i="49"/>
  <c r="B34" i="49" l="1"/>
  <c r="D32" i="49" s="1"/>
  <c r="E32" i="49" l="1"/>
  <c r="E33" i="49" s="1"/>
  <c r="D33" i="49"/>
  <c r="D34" i="49" s="1"/>
  <c r="G33" i="49" l="1"/>
  <c r="G34" i="49"/>
  <c r="B33" i="48" l="1"/>
  <c r="B38" i="48" s="1"/>
  <c r="B32" i="48"/>
  <c r="B34" i="48" s="1"/>
  <c r="D33" i="48" s="1"/>
  <c r="G26" i="48"/>
  <c r="G20" i="48"/>
  <c r="G28" i="48" s="1"/>
  <c r="D32" i="48" l="1"/>
  <c r="E32" i="48" l="1"/>
  <c r="E33" i="48" s="1"/>
  <c r="D34" i="48"/>
  <c r="G33" i="48" l="1"/>
  <c r="G34" i="48"/>
  <c r="B33" i="47" l="1"/>
  <c r="B38" i="47" s="1"/>
  <c r="B32" i="47"/>
  <c r="G26" i="47"/>
  <c r="G28" i="47" s="1"/>
  <c r="G20" i="47"/>
  <c r="B34" i="47" l="1"/>
  <c r="D32" i="47" s="1"/>
  <c r="D33" i="47"/>
  <c r="E32" i="47" l="1"/>
  <c r="E33" i="47" s="1"/>
  <c r="D34" i="47"/>
  <c r="G33" i="47" l="1"/>
  <c r="G34" i="47"/>
  <c r="B33" i="46" l="1"/>
  <c r="B38" i="46" s="1"/>
  <c r="B32" i="46"/>
  <c r="G26" i="46"/>
  <c r="G28" i="46" s="1"/>
  <c r="G20" i="46"/>
  <c r="A4" i="46"/>
  <c r="B34" i="46" l="1"/>
  <c r="D32" i="46" s="1"/>
  <c r="E32" i="46" l="1"/>
  <c r="E33" i="46" s="1"/>
  <c r="D33" i="46"/>
  <c r="D34" i="46" s="1"/>
  <c r="G33" i="46" l="1"/>
  <c r="G34" i="46"/>
  <c r="A38" i="45" l="1"/>
  <c r="B33" i="45"/>
  <c r="B32" i="45"/>
  <c r="B34" i="45" s="1"/>
  <c r="D33" i="45" s="1"/>
  <c r="G26" i="45"/>
  <c r="G20" i="45"/>
  <c r="G28" i="45" l="1"/>
  <c r="B38" i="45"/>
  <c r="D32" i="45"/>
  <c r="E32" i="45" l="1"/>
  <c r="E33" i="45" s="1"/>
  <c r="D34" i="45"/>
  <c r="G33" i="45" l="1"/>
  <c r="G34" i="45"/>
  <c r="A38" i="44" l="1"/>
  <c r="B33" i="44"/>
  <c r="B32" i="44"/>
  <c r="B34" i="44" s="1"/>
  <c r="D33" i="44" s="1"/>
  <c r="G26" i="44"/>
  <c r="G28" i="44" s="1"/>
  <c r="G20" i="44"/>
  <c r="B38" i="44" l="1"/>
  <c r="D32" i="44"/>
  <c r="E32" i="44" l="1"/>
  <c r="E33" i="44" s="1"/>
  <c r="D34" i="44"/>
  <c r="G33" i="44" l="1"/>
  <c r="G34" i="44"/>
  <c r="A38" i="43" l="1"/>
  <c r="B33" i="43"/>
  <c r="B32" i="43"/>
  <c r="G28" i="43"/>
  <c r="G26" i="43"/>
  <c r="G20" i="43"/>
  <c r="B34" i="43" l="1"/>
  <c r="D33" i="43" s="1"/>
  <c r="B38" i="43"/>
  <c r="D32" i="43" l="1"/>
  <c r="E32" i="43"/>
  <c r="E33" i="43" s="1"/>
  <c r="D34" i="43"/>
  <c r="G33" i="43" l="1"/>
  <c r="G34" i="43"/>
  <c r="A38" i="42" l="1"/>
  <c r="B33" i="42"/>
  <c r="B32" i="42"/>
  <c r="B34" i="42" s="1"/>
  <c r="D33" i="42" s="1"/>
  <c r="G26" i="42"/>
  <c r="G28" i="42" s="1"/>
  <c r="G20" i="42"/>
  <c r="B38" i="42" l="1"/>
  <c r="D32" i="42"/>
  <c r="E32" i="42" l="1"/>
  <c r="E33" i="42" s="1"/>
  <c r="D34" i="42"/>
  <c r="G33" i="42" l="1"/>
  <c r="G34" i="42"/>
  <c r="A38" i="41" l="1"/>
  <c r="B33" i="41"/>
  <c r="B32" i="41"/>
  <c r="B34" i="41" s="1"/>
  <c r="G26" i="41"/>
  <c r="G18" i="41"/>
  <c r="G20" i="41" s="1"/>
  <c r="G28" i="41" s="1"/>
  <c r="B38" i="41" l="1"/>
  <c r="D32" i="41"/>
  <c r="D33" i="41"/>
  <c r="E32" i="41" l="1"/>
  <c r="E33" i="41" s="1"/>
  <c r="D34" i="41"/>
  <c r="G33" i="41" l="1"/>
  <c r="G34" i="41"/>
  <c r="A38" i="40" l="1"/>
  <c r="B33" i="40"/>
  <c r="B32" i="40"/>
  <c r="B34" i="40" s="1"/>
  <c r="D33" i="40" s="1"/>
  <c r="G26" i="40"/>
  <c r="E18" i="40"/>
  <c r="B18" i="40"/>
  <c r="G18" i="40" s="1"/>
  <c r="G20" i="40" s="1"/>
  <c r="G28" i="40" s="1"/>
  <c r="B38" i="40" l="1"/>
  <c r="D32" i="40"/>
  <c r="E32" i="40" l="1"/>
  <c r="E33" i="40" s="1"/>
  <c r="D34" i="40"/>
  <c r="G33" i="40" l="1"/>
  <c r="G34" i="40"/>
  <c r="A38" i="39" l="1"/>
  <c r="B33" i="39"/>
  <c r="B38" i="39" s="1"/>
  <c r="B32" i="39"/>
  <c r="G26" i="39"/>
  <c r="E18" i="39"/>
  <c r="B18" i="39"/>
  <c r="G18" i="39" l="1"/>
  <c r="G20" i="39" s="1"/>
  <c r="G28" i="39" s="1"/>
  <c r="B34" i="39"/>
  <c r="D32" i="39" s="1"/>
  <c r="D33" i="39"/>
  <c r="E32" i="39" l="1"/>
  <c r="E33" i="39" s="1"/>
  <c r="D34" i="39"/>
  <c r="G33" i="39" l="1"/>
  <c r="G34" i="39"/>
  <c r="B25" i="38" l="1"/>
  <c r="B26" i="38" s="1"/>
  <c r="B28" i="38" s="1"/>
  <c r="B7" i="38"/>
  <c r="B14" i="38" s="1"/>
  <c r="B16" i="38" s="1"/>
  <c r="B36" i="37"/>
  <c r="B38" i="37" s="1"/>
  <c r="B35" i="37"/>
  <c r="B17" i="37"/>
  <c r="B16" i="37"/>
  <c r="B15" i="37"/>
  <c r="C18" i="37" s="1"/>
  <c r="B10" i="37"/>
  <c r="C12" i="37" s="1"/>
  <c r="B26" i="36"/>
  <c r="B28" i="36" s="1"/>
  <c r="B13" i="36"/>
  <c r="B7" i="36"/>
  <c r="B36" i="35"/>
  <c r="B38" i="35" s="1"/>
  <c r="B17" i="35"/>
  <c r="B16" i="35"/>
  <c r="B10" i="35"/>
  <c r="B15" i="35" s="1"/>
  <c r="B26" i="34"/>
  <c r="B28" i="34" s="1"/>
  <c r="B13" i="34"/>
  <c r="B7" i="34"/>
  <c r="B36" i="33"/>
  <c r="B38" i="33" s="1"/>
  <c r="B17" i="33"/>
  <c r="B16" i="33"/>
  <c r="B10" i="33"/>
  <c r="C12" i="33" s="1"/>
  <c r="B26" i="32"/>
  <c r="B28" i="32" s="1"/>
  <c r="B13" i="32"/>
  <c r="B7" i="32"/>
  <c r="B36" i="31"/>
  <c r="B38" i="31" s="1"/>
  <c r="B17" i="31"/>
  <c r="B16" i="31"/>
  <c r="B10" i="31"/>
  <c r="B15" i="31" s="1"/>
  <c r="B26" i="30"/>
  <c r="B28" i="30" s="1"/>
  <c r="B7" i="30"/>
  <c r="B14" i="30" s="1"/>
  <c r="B16" i="30" s="1"/>
  <c r="B36" i="29"/>
  <c r="B35" i="29"/>
  <c r="B34" i="29"/>
  <c r="B17" i="29"/>
  <c r="B16" i="29"/>
  <c r="B10" i="29"/>
  <c r="C12" i="29" s="1"/>
  <c r="D10" i="28"/>
  <c r="C9" i="28"/>
  <c r="C11" i="28" s="1"/>
  <c r="B9" i="28"/>
  <c r="D9" i="28" s="1"/>
  <c r="D5" i="28"/>
  <c r="D4" i="28"/>
  <c r="B15" i="29" l="1"/>
  <c r="C18" i="29" s="1"/>
  <c r="B26" i="29" s="1"/>
  <c r="B38" i="29"/>
  <c r="C18" i="31"/>
  <c r="B26" i="31" s="1"/>
  <c r="B14" i="32"/>
  <c r="B16" i="32" s="1"/>
  <c r="B14" i="34"/>
  <c r="B16" i="34" s="1"/>
  <c r="C18" i="35"/>
  <c r="B26" i="35" s="1"/>
  <c r="B14" i="36"/>
  <c r="B16" i="36" s="1"/>
  <c r="B26" i="37"/>
  <c r="C24" i="37" s="1"/>
  <c r="C20" i="37"/>
  <c r="C12" i="35"/>
  <c r="B15" i="33"/>
  <c r="C18" i="33" s="1"/>
  <c r="B26" i="33" s="1"/>
  <c r="C24" i="33" s="1"/>
  <c r="C12" i="31"/>
  <c r="C20" i="29"/>
  <c r="C24" i="29"/>
  <c r="B11" i="28"/>
  <c r="D11" i="28" s="1"/>
  <c r="B10" i="27"/>
  <c r="B19" i="27" s="1"/>
  <c r="C22" i="27" s="1"/>
  <c r="B30" i="27" s="1"/>
  <c r="B40" i="27"/>
  <c r="B21" i="27"/>
  <c r="C20" i="35" l="1"/>
  <c r="C24" i="35"/>
  <c r="C20" i="33"/>
  <c r="C24" i="31"/>
  <c r="C20" i="31"/>
  <c r="C16" i="27"/>
  <c r="B10" i="25"/>
  <c r="C28" i="27" l="1"/>
  <c r="C24" i="27"/>
  <c r="B6" i="26"/>
  <c r="B7" i="26"/>
  <c r="B21" i="25" l="1"/>
  <c r="B19" i="25"/>
  <c r="B32" i="26" l="1"/>
  <c r="B34" i="26" s="1"/>
  <c r="B16" i="26"/>
  <c r="B18" i="26" s="1"/>
  <c r="B40" i="25"/>
  <c r="C16" i="25"/>
  <c r="C22" i="25" l="1"/>
  <c r="B30" i="25" s="1"/>
  <c r="C28" i="25" s="1"/>
  <c r="B7" i="24"/>
  <c r="B21" i="23"/>
  <c r="B10" i="23"/>
  <c r="B19" i="23" s="1"/>
  <c r="C24" i="25" l="1"/>
  <c r="B32" i="24"/>
  <c r="B34" i="24" s="1"/>
  <c r="B16" i="24"/>
  <c r="B18" i="24" s="1"/>
  <c r="B39" i="23"/>
  <c r="B40" i="23" s="1"/>
  <c r="C16" i="23"/>
  <c r="C22" i="23" l="1"/>
  <c r="B30" i="23" s="1"/>
  <c r="C28" i="23" s="1"/>
  <c r="B39" i="21"/>
  <c r="C24" i="23" l="1"/>
  <c r="B7" i="22"/>
  <c r="B23" i="22"/>
  <c r="B10" i="21"/>
  <c r="B6" i="22" l="1"/>
  <c r="B8" i="22"/>
  <c r="B22" i="22" l="1"/>
  <c r="B5" i="22" l="1"/>
  <c r="B19" i="21"/>
  <c r="B21" i="21"/>
  <c r="B32" i="22" l="1"/>
  <c r="B34" i="22" s="1"/>
  <c r="B16" i="22"/>
  <c r="B18" i="22" s="1"/>
  <c r="B40" i="21"/>
  <c r="C22" i="21"/>
  <c r="B30" i="21" s="1"/>
  <c r="C16" i="21" l="1"/>
  <c r="B7" i="20"/>
  <c r="B5" i="20"/>
  <c r="B4" i="20"/>
  <c r="B21" i="19"/>
  <c r="B10" i="19"/>
  <c r="B19" i="19" s="1"/>
  <c r="C28" i="21" l="1"/>
  <c r="C24" i="21"/>
  <c r="B32" i="20"/>
  <c r="B34" i="20" s="1"/>
  <c r="B16" i="20"/>
  <c r="B18" i="20" s="1"/>
  <c r="B39" i="19"/>
  <c r="B40" i="19" s="1"/>
  <c r="C22" i="19"/>
  <c r="B30" i="19" s="1"/>
  <c r="C16" i="19"/>
  <c r="C24" i="19" l="1"/>
  <c r="C28" i="19"/>
  <c r="B4" i="18"/>
  <c r="B7" i="18"/>
  <c r="B23" i="18"/>
  <c r="B30" i="18"/>
  <c r="B29" i="18"/>
  <c r="B21" i="17"/>
  <c r="B19" i="17"/>
  <c r="B10" i="17"/>
  <c r="B32" i="18" l="1"/>
  <c r="B34" i="18" s="1"/>
  <c r="B16" i="18"/>
  <c r="B18" i="18" s="1"/>
  <c r="B39" i="17"/>
  <c r="B41" i="17"/>
  <c r="C22" i="17"/>
  <c r="B30" i="17" s="1"/>
  <c r="C16" i="17" l="1"/>
  <c r="B7" i="16"/>
  <c r="B23" i="16"/>
  <c r="B30" i="16"/>
  <c r="C28" i="17" l="1"/>
  <c r="C24" i="17"/>
  <c r="B38" i="15"/>
  <c r="B21" i="15"/>
  <c r="B10" i="15"/>
  <c r="B19" i="15" s="1"/>
  <c r="B32" i="16" l="1"/>
  <c r="B34" i="16" s="1"/>
  <c r="B16" i="16"/>
  <c r="B18" i="16" s="1"/>
  <c r="B39" i="15"/>
  <c r="B41" i="15" s="1"/>
  <c r="C16" i="15"/>
  <c r="C22" i="15" l="1"/>
  <c r="B30" i="15" s="1"/>
  <c r="C28" i="15" s="1"/>
  <c r="B7" i="14"/>
  <c r="B6" i="14"/>
  <c r="B14" i="14"/>
  <c r="B22" i="14"/>
  <c r="B28" i="14"/>
  <c r="B7" i="12"/>
  <c r="C24" i="15" l="1"/>
  <c r="B21" i="13"/>
  <c r="B10" i="13"/>
  <c r="B19" i="13" s="1"/>
  <c r="B32" i="14" l="1"/>
  <c r="B34" i="14" s="1"/>
  <c r="B16" i="14"/>
  <c r="B18" i="14" s="1"/>
  <c r="B39" i="13"/>
  <c r="B41" i="13" s="1"/>
  <c r="C22" i="13"/>
  <c r="B30" i="13" s="1"/>
  <c r="C16" i="13" l="1"/>
  <c r="C24" i="13" s="1"/>
  <c r="B40" i="11"/>
  <c r="B38" i="11"/>
  <c r="B18" i="11"/>
  <c r="B21" i="11"/>
  <c r="B10" i="11"/>
  <c r="B19" i="11" s="1"/>
  <c r="C28" i="13" l="1"/>
  <c r="B31" i="12"/>
  <c r="B33" i="12" s="1"/>
  <c r="B15" i="12"/>
  <c r="B17" i="12" s="1"/>
  <c r="B42" i="11"/>
  <c r="C22" i="11"/>
  <c r="C16" i="11"/>
  <c r="B30" i="11" l="1"/>
  <c r="C28" i="11" s="1"/>
  <c r="C24" i="11"/>
  <c r="B7" i="10"/>
  <c r="B27" i="10"/>
  <c r="B13" i="10"/>
  <c r="B21" i="9"/>
  <c r="B20" i="9"/>
  <c r="B19" i="9"/>
  <c r="B10" i="9"/>
  <c r="B31" i="10" l="1"/>
  <c r="B33" i="10" s="1"/>
  <c r="B15" i="10"/>
  <c r="B17" i="10" s="1"/>
  <c r="B38" i="9"/>
  <c r="B42" i="9" s="1"/>
  <c r="C22" i="9"/>
  <c r="B30" i="9" s="1"/>
  <c r="C16" i="9" l="1"/>
  <c r="B6" i="8"/>
  <c r="B10" i="7"/>
  <c r="B7" i="8"/>
  <c r="C28" i="9" l="1"/>
  <c r="C24" i="9"/>
  <c r="B39" i="7"/>
  <c r="B21" i="7" l="1"/>
  <c r="B20" i="7"/>
  <c r="B19" i="7"/>
  <c r="B31" i="8" l="1"/>
  <c r="B33" i="8" s="1"/>
  <c r="B15" i="8"/>
  <c r="B17" i="8" s="1"/>
  <c r="B38" i="7"/>
  <c r="B42" i="7" s="1"/>
  <c r="C22" i="7"/>
  <c r="B30" i="7" s="1"/>
  <c r="C16" i="7" l="1"/>
  <c r="B40" i="5"/>
  <c r="B39" i="5"/>
  <c r="B38" i="5"/>
  <c r="C24" i="7" l="1"/>
  <c r="C28" i="7"/>
  <c r="B21" i="5"/>
  <c r="B20" i="5"/>
  <c r="B10" i="5"/>
  <c r="B19" i="5" s="1"/>
  <c r="B10" i="6" l="1"/>
  <c r="B7" i="6"/>
  <c r="B15" i="6" s="1"/>
  <c r="B17" i="6" s="1"/>
  <c r="B6" i="6"/>
  <c r="B30" i="6"/>
  <c r="B32" i="6" s="1"/>
  <c r="B42" i="5"/>
  <c r="C22" i="5"/>
  <c r="B30" i="5" s="1"/>
  <c r="C16" i="5"/>
  <c r="C28" i="5" l="1"/>
  <c r="C24" i="5"/>
  <c r="B38" i="3"/>
  <c r="B10" i="4" l="1"/>
  <c r="B27" i="4"/>
  <c r="B10" i="3"/>
  <c r="B19" i="3" s="1"/>
  <c r="B28" i="4"/>
  <c r="B7" i="4"/>
  <c r="B15" i="4" s="1"/>
  <c r="B21" i="3" l="1"/>
  <c r="C16" i="3"/>
  <c r="B20" i="3"/>
  <c r="B30" i="4"/>
  <c r="B32" i="4" s="1"/>
  <c r="B17" i="4"/>
  <c r="B40" i="3"/>
  <c r="B39" i="3"/>
  <c r="B28" i="2"/>
  <c r="B30" i="2" s="1"/>
  <c r="B27" i="2"/>
  <c r="B13" i="2"/>
  <c r="B7" i="2"/>
  <c r="B14" i="2" s="1"/>
  <c r="B16" i="2" s="1"/>
  <c r="B40" i="1"/>
  <c r="B39" i="1"/>
  <c r="B37" i="1"/>
  <c r="B20" i="1"/>
  <c r="B19" i="1"/>
  <c r="B10" i="1"/>
  <c r="B18" i="1" s="1"/>
  <c r="C21" i="1" s="1"/>
  <c r="B42" i="1" l="1"/>
  <c r="C15" i="1"/>
  <c r="C23" i="1" s="1"/>
  <c r="B42" i="3"/>
  <c r="C22" i="3"/>
  <c r="B30" i="3" s="1"/>
  <c r="C28" i="3" s="1"/>
  <c r="B29" i="1"/>
  <c r="C27" i="1" s="1"/>
  <c r="C24" i="3" l="1"/>
</calcChain>
</file>

<file path=xl/sharedStrings.xml><?xml version="1.0" encoding="utf-8"?>
<sst xmlns="http://schemas.openxmlformats.org/spreadsheetml/2006/main" count="1523" uniqueCount="214">
  <si>
    <t>PENINSULA AIRPORT COMMISSION</t>
  </si>
  <si>
    <t>STATUS OF CASH AND INVESTMENTS</t>
  </si>
  <si>
    <t>AS OF JUNE 30, 2014</t>
  </si>
  <si>
    <t>PFC Funds</t>
  </si>
  <si>
    <t>Capital (State Entitlements)</t>
  </si>
  <si>
    <t>Money Market (Restricted)</t>
  </si>
  <si>
    <t>State Entitlements</t>
  </si>
  <si>
    <t>US DOT SCAS Grant</t>
  </si>
  <si>
    <t>RAISE Funds</t>
  </si>
  <si>
    <t>Total Restricted Cash</t>
  </si>
  <si>
    <t>Operating Cash</t>
  </si>
  <si>
    <t>Capital (Unrestricted)</t>
  </si>
  <si>
    <t>Money Market (Unrestricted)</t>
  </si>
  <si>
    <t>Payroll &amp; Other</t>
  </si>
  <si>
    <t>Total Unrestricted Cash</t>
  </si>
  <si>
    <t>Total Cash</t>
  </si>
  <si>
    <t>Investments</t>
  </si>
  <si>
    <t>Total Cash &amp; Investments</t>
  </si>
  <si>
    <t>Total Unrestricted Cash &amp; Investments</t>
  </si>
  <si>
    <t>*PFC's Collected as of 07/18/14 - $6,618,705</t>
  </si>
  <si>
    <t>*PFC Reimbursements to date - $6,122,795</t>
  </si>
  <si>
    <t xml:space="preserve">                          Total Available - $495,910</t>
  </si>
  <si>
    <t>Pending FAA Reimbursements:</t>
  </si>
  <si>
    <t>Master Plan</t>
  </si>
  <si>
    <t>Airfield Lighting Construction</t>
  </si>
  <si>
    <t>Taxiway A, B, C Rehab Construction</t>
  </si>
  <si>
    <t>SSCP Design</t>
  </si>
  <si>
    <t>Taxiway A Rehab Constr</t>
  </si>
  <si>
    <t>June 2014 Reconciliation of Cash</t>
  </si>
  <si>
    <t>Beginning Bal</t>
  </si>
  <si>
    <t>Restricted Entitlements</t>
  </si>
  <si>
    <t>Operating Receipts</t>
  </si>
  <si>
    <t>Operating Dispursements</t>
  </si>
  <si>
    <t>Capital Receipts</t>
  </si>
  <si>
    <t>FAA Reimbursements</t>
  </si>
  <si>
    <t>Capital Dispursements</t>
  </si>
  <si>
    <t>Payroll Receipts</t>
  </si>
  <si>
    <t>Transfer from Operating</t>
  </si>
  <si>
    <t>Payroll Disbursements</t>
  </si>
  <si>
    <t>Money Market Interest</t>
  </si>
  <si>
    <t>Money Market Transfer</t>
  </si>
  <si>
    <t>Transferred to State Entitlements</t>
  </si>
  <si>
    <t>PFC Funds Reimbursed</t>
  </si>
  <si>
    <t>Ending Unrestricted</t>
  </si>
  <si>
    <t>Reported Unrestricted</t>
  </si>
  <si>
    <t>Difference</t>
  </si>
  <si>
    <t>Restricted Disbursements</t>
  </si>
  <si>
    <t>State Funded Expenditures</t>
  </si>
  <si>
    <t>PFC Funds Collected</t>
  </si>
  <si>
    <t>US DOT Funds</t>
  </si>
  <si>
    <t>Raise Funds</t>
  </si>
  <si>
    <t>Ending Restricted</t>
  </si>
  <si>
    <t>Reported Restricted</t>
  </si>
  <si>
    <t>July 2014 Reconciliation of Cash</t>
  </si>
  <si>
    <t>AS OF JULY 31, 2014</t>
  </si>
  <si>
    <t xml:space="preserve">Equitable Share </t>
  </si>
  <si>
    <t>Restricted Entitlement Interest</t>
  </si>
  <si>
    <t>E Share Funds</t>
  </si>
  <si>
    <t>*PFC Reimbursements to date - $6,254,662</t>
  </si>
  <si>
    <t xml:space="preserve">                          Total Available - $466,121</t>
  </si>
  <si>
    <t>*PFC's Collected as of 08/21/14 - $6,720,783</t>
  </si>
  <si>
    <t>August 2014 Reconciliation of Cash</t>
  </si>
  <si>
    <t>FAA Reimbursements &amp; Transfer</t>
  </si>
  <si>
    <t>Transferred to Capital</t>
  </si>
  <si>
    <t xml:space="preserve">                          Total Available - $557,501</t>
  </si>
  <si>
    <t>*PFC's Collected as of 09/22/14 - $6,812,163</t>
  </si>
  <si>
    <t>AS OF AUGUST 31, 2014</t>
  </si>
  <si>
    <t>September 2014 Reconciliation of Cash</t>
  </si>
  <si>
    <t>AS OF SEPTEMBER 30, 2014</t>
  </si>
  <si>
    <t xml:space="preserve">                          Total Available - $338,662</t>
  </si>
  <si>
    <t>*PFC's Collected as of 10/21/14 - $6,895,840</t>
  </si>
  <si>
    <t>*PFC Reimbursements to date - $6,557,178</t>
  </si>
  <si>
    <t>Restricted Receipts</t>
  </si>
  <si>
    <t>SCASD Grant</t>
  </si>
  <si>
    <t>AS OF OCTOBER 31, 2014</t>
  </si>
  <si>
    <t>State Entitlement Difference for loan guarantee</t>
  </si>
  <si>
    <t xml:space="preserve">                          Total Available - $347,160</t>
  </si>
  <si>
    <t>*PFC Reimbursements to date - $6,634,959</t>
  </si>
  <si>
    <t>*PFC's Collected as of 11/17/14 - $6,982,119</t>
  </si>
  <si>
    <t>October 2014 Reconciliation of Cash</t>
  </si>
  <si>
    <t>AS OF NOVEMBER 30, 2014</t>
  </si>
  <si>
    <t>*PFC's Collected as of 12/15/14 - $7,036,707</t>
  </si>
  <si>
    <t xml:space="preserve">                          Total Available - $401,748</t>
  </si>
  <si>
    <t>November 2014 Reconciliation of Cash</t>
  </si>
  <si>
    <t>December 2014 Reconciliation of Cash</t>
  </si>
  <si>
    <t>AS OF DECEMBER 31, 2014</t>
  </si>
  <si>
    <t xml:space="preserve">                          Total Available - $215,164</t>
  </si>
  <si>
    <t>*PFC Reimbursements to date - $6,905,532</t>
  </si>
  <si>
    <t>*PFC's Collected as of 01/21/15 - $7,120,696</t>
  </si>
  <si>
    <t>WM Jordan Refund</t>
  </si>
  <si>
    <t>Loan interest payment</t>
  </si>
  <si>
    <t>Capital Transfer</t>
  </si>
  <si>
    <t>FAA Reimbursements &amp; State Entitlement</t>
  </si>
  <si>
    <t>Transfer to Restricted State Entitlement</t>
  </si>
  <si>
    <t>Original December recon RAISE Funds were taken out of State Entitlements</t>
  </si>
  <si>
    <t>AS OF JANUARY 31, 2015</t>
  </si>
  <si>
    <t>State Entitlement Diff for loan guarantee</t>
  </si>
  <si>
    <t>Loan interest pmt &amp; State Funded Expenditures</t>
  </si>
  <si>
    <t>January 2015 Reconciliation of Cash</t>
  </si>
  <si>
    <t>*PFC Reimbursements to date - $6,918,532</t>
  </si>
  <si>
    <t xml:space="preserve">                          Total Available - $267,080</t>
  </si>
  <si>
    <t>*PFC's Collected as of 02/20/15 - $7,185,612</t>
  </si>
  <si>
    <t>February 2015 Reconciliation of Cash</t>
  </si>
  <si>
    <t>Loan P&amp;I pmt &amp; State Funded Expenditures</t>
  </si>
  <si>
    <t>Loan Principle payment</t>
  </si>
  <si>
    <t>Loan P&amp;I payment</t>
  </si>
  <si>
    <t>Trf DOT reimb to Ops for PEX Advance &amp; Adv Exp</t>
  </si>
  <si>
    <t>AS OF FEBRUARY 28, 2015</t>
  </si>
  <si>
    <t>*PFC's Collected as of 03/18/15 - $7,255,901</t>
  </si>
  <si>
    <t xml:space="preserve">                          Total Available - $337,369</t>
  </si>
  <si>
    <t>Capital (State Entitlements) ^^</t>
  </si>
  <si>
    <t>^^ Projects funded with unrestricted funds</t>
  </si>
  <si>
    <t>March 2015 Reconciliation of Cash</t>
  </si>
  <si>
    <t>PFC Reimbursements</t>
  </si>
  <si>
    <t>AS OF MARCH 31, 2015</t>
  </si>
  <si>
    <t>*PFC Reimbursements to date - $7,047,974</t>
  </si>
  <si>
    <t xml:space="preserve">                          Total Available - $275,522</t>
  </si>
  <si>
    <t>*PFC's Collected as of 04/20/15 - $7,323,496</t>
  </si>
  <si>
    <t>April 2015 Reconciliation of Cash</t>
  </si>
  <si>
    <t>AS OF APRIL 30, 2015</t>
  </si>
  <si>
    <t>State Funded Expenditures &amp; Loan</t>
  </si>
  <si>
    <t>Entitlement Reimb from Loan payoff</t>
  </si>
  <si>
    <t>*PFC's Collected as of 05/21/15 - $7,356,659</t>
  </si>
  <si>
    <t xml:space="preserve">                          Total Available - $308,685</t>
  </si>
  <si>
    <t>May 2015 Reconciliation of Cash</t>
  </si>
  <si>
    <t>AS OF MAY 31, 2015</t>
  </si>
  <si>
    <t xml:space="preserve">                          Total Available - $433,259</t>
  </si>
  <si>
    <t>Loan refund</t>
  </si>
  <si>
    <t>AS OF JUNE 30, 2015</t>
  </si>
  <si>
    <t>*PFC's Collected as of 06/19/15 - $7,481,233</t>
  </si>
  <si>
    <t>*PFC Reimbursements to date - $7,055,326</t>
  </si>
  <si>
    <t xml:space="preserve">                          Total Available - $497,635</t>
  </si>
  <si>
    <t>*PFC's Collected as of 07/17/15 - $7,552,961</t>
  </si>
  <si>
    <t>FAA</t>
  </si>
  <si>
    <t>Includes funds transferred to State Entitlement Acct</t>
  </si>
  <si>
    <t>Bank</t>
  </si>
  <si>
    <t>G/L</t>
  </si>
  <si>
    <t>DIFF</t>
  </si>
  <si>
    <t>OPS</t>
  </si>
  <si>
    <t>CAP</t>
  </si>
  <si>
    <t>Outstanding Checks</t>
  </si>
  <si>
    <t>M Market</t>
  </si>
  <si>
    <t>Restricted</t>
  </si>
  <si>
    <t>Unrestricted</t>
  </si>
  <si>
    <t>Total</t>
  </si>
  <si>
    <t>Capital</t>
  </si>
  <si>
    <t>M. Market</t>
  </si>
  <si>
    <t>AS OF MAY 31, 2014</t>
  </si>
  <si>
    <t>*PFC's Collected as of 06/26/14 - $6,551,207</t>
  </si>
  <si>
    <t>*PFC Reimbursements to date - $5,978,954</t>
  </si>
  <si>
    <t xml:space="preserve">                          Total Available - $572,253</t>
  </si>
  <si>
    <t>May 2014 Reconciliation of Cash</t>
  </si>
  <si>
    <t>Transferred to Operating</t>
  </si>
  <si>
    <t>AS OF APRIL 30, 2014</t>
  </si>
  <si>
    <t>*PFC's Collected as of 05/16/14 - $6,390,938</t>
  </si>
  <si>
    <t>*PFC Reimbursements to date - $5,277,973</t>
  </si>
  <si>
    <t xml:space="preserve">                          Total Available - $1,112,965</t>
  </si>
  <si>
    <t>April 2014 Reconciliation of Cash</t>
  </si>
  <si>
    <t>AS OF MARCH 31, 2014</t>
  </si>
  <si>
    <t>*PFC's Collected as of 04/21/14 - $6,341,848</t>
  </si>
  <si>
    <t xml:space="preserve">                          Total Available - $1,063,875</t>
  </si>
  <si>
    <t>March 2014 Reconciliation of Cash</t>
  </si>
  <si>
    <t>AS OF FEBRUARY 28, 2014</t>
  </si>
  <si>
    <t>*PFC's Collected as of 03/21/14 - $6,275,076</t>
  </si>
  <si>
    <t xml:space="preserve">                          Total Available - $997,103</t>
  </si>
  <si>
    <t>February 2014 Reconciliation of Cash</t>
  </si>
  <si>
    <t>AS OF JANUARY 31, 2014</t>
  </si>
  <si>
    <t>*PFC's Collected as of 02/19/14 - $6,193,343</t>
  </si>
  <si>
    <t>*PFC Reimbursements to date - $5,264,386</t>
  </si>
  <si>
    <t xml:space="preserve">                          Total Available - $928,957</t>
  </si>
  <si>
    <t>January 2014 Reconciliation of Cash</t>
  </si>
  <si>
    <t>reimbursed on projects in error</t>
  </si>
  <si>
    <t>ACCOUNT #11300 - MONEY MARKET FUNDS</t>
  </si>
  <si>
    <t>TOWNE BANK ACCT #3686</t>
  </si>
  <si>
    <t>Balance Per Statement:</t>
  </si>
  <si>
    <t>Add deposits in transit:</t>
  </si>
  <si>
    <t>Less Transfers Outstanding:</t>
  </si>
  <si>
    <t>Adjusted Bank Balance</t>
  </si>
  <si>
    <t>Balance Per General Ledger:</t>
  </si>
  <si>
    <t>Add:</t>
  </si>
  <si>
    <t>Adjusted General Ledger Balance:</t>
  </si>
  <si>
    <t>Unreconciled Balance</t>
  </si>
  <si>
    <t>Balance Made up of:</t>
  </si>
  <si>
    <t>Operating</t>
  </si>
  <si>
    <t>+</t>
  </si>
  <si>
    <t>82.6% unrestricted</t>
  </si>
  <si>
    <t>17.4% restricted</t>
  </si>
  <si>
    <t>* No more than six withdrawals per month without a penalty</t>
  </si>
  <si>
    <t>DECEMBER 31, 2013</t>
  </si>
  <si>
    <t>88% unrestricted</t>
  </si>
  <si>
    <t>12% restricted</t>
  </si>
  <si>
    <t>2/28/2014</t>
  </si>
  <si>
    <t>Transfer to Operating Account</t>
  </si>
  <si>
    <t>FEBRUARY 28, 2014</t>
  </si>
  <si>
    <t>JANUARY 31, 2014</t>
  </si>
  <si>
    <t>MARCH 31, 2014</t>
  </si>
  <si>
    <t>APRIL 30, 2014</t>
  </si>
  <si>
    <t>MAY 31, 2014</t>
  </si>
  <si>
    <t>100% unrestricted</t>
  </si>
  <si>
    <t>0% restricted</t>
  </si>
  <si>
    <t>JUNE 30, 2014</t>
  </si>
  <si>
    <t>AUGUST 31, 2014</t>
  </si>
  <si>
    <t>SEPTEMBER 30, 2014</t>
  </si>
  <si>
    <t>NOVEMBER 30, 2014</t>
  </si>
  <si>
    <t>OCTOBER 31, 2014</t>
  </si>
  <si>
    <t>DECEMBER 31, 2014</t>
  </si>
  <si>
    <t>Funds should have come from RAISE Account, Bank to corr in Feb</t>
  </si>
  <si>
    <t>JANUARY 31, 2015</t>
  </si>
  <si>
    <t>FEBRUARY 28, 2015</t>
  </si>
  <si>
    <t>MARCH 31, 2015</t>
  </si>
  <si>
    <t>APRIL 30, 2015</t>
  </si>
  <si>
    <t>MAY 31, 2015</t>
  </si>
  <si>
    <t>JUNE 30, 2015</t>
  </si>
  <si>
    <t>June 2015 Reconciliation of Cash-Prelim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</si>
</sst>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_);_(* \(#,##0.0\);_(* &quot;-&quot;??_);_(@_)"/>
    <numFmt numFmtId="167" formatCode="_([$$-409]* #,##0.00_);_([$$-409]* \(#,##0.00\);_([$$-409]* &quot;-&quot;??_);_(@_)"/>
    <numFmt numFmtId="168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8">
    <xf numFmtId="0" fontId="0" fillId="0" borderId="0" xfId="0"/>
    <xf numFmtId="0" fontId="4" fillId="2" borderId="0" xfId="0" applyFont="1" applyFill="1"/>
    <xf numFmtId="0" fontId="4" fillId="0" borderId="0" xfId="0" applyFont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/>
    <xf numFmtId="0" fontId="5" fillId="0" borderId="0" xfId="0" applyFont="1"/>
    <xf numFmtId="0" fontId="3" fillId="2" borderId="0" xfId="0" applyFont="1" applyFill="1"/>
    <xf numFmtId="164" fontId="4" fillId="2" borderId="0" xfId="2" applyNumberFormat="1" applyFont="1" applyFill="1"/>
    <xf numFmtId="164" fontId="4" fillId="2" borderId="0" xfId="0" applyNumberFormat="1" applyFont="1" applyFill="1"/>
    <xf numFmtId="44" fontId="5" fillId="0" borderId="0" xfId="2" applyFont="1"/>
    <xf numFmtId="164" fontId="4" fillId="2" borderId="0" xfId="2" applyNumberFormat="1" applyFont="1" applyFill="1" applyBorder="1"/>
    <xf numFmtId="164" fontId="4" fillId="2" borderId="0" xfId="2" quotePrefix="1" applyNumberFormat="1" applyFont="1" applyFill="1" applyBorder="1"/>
    <xf numFmtId="44" fontId="4" fillId="0" borderId="0" xfId="2" applyFont="1"/>
    <xf numFmtId="164" fontId="4" fillId="2" borderId="1" xfId="2" applyNumberFormat="1" applyFont="1" applyFill="1" applyBorder="1"/>
    <xf numFmtId="164" fontId="4" fillId="2" borderId="1" xfId="2" quotePrefix="1" applyNumberFormat="1" applyFont="1" applyFill="1" applyBorder="1"/>
    <xf numFmtId="0" fontId="3" fillId="2" borderId="0" xfId="0" applyFont="1" applyFill="1" applyAlignment="1">
      <alignment horizontal="left"/>
    </xf>
    <xf numFmtId="44" fontId="5" fillId="0" borderId="0" xfId="2" applyFont="1" applyBorder="1"/>
    <xf numFmtId="0" fontId="5" fillId="0" borderId="0" xfId="0" applyFont="1" applyBorder="1"/>
    <xf numFmtId="164" fontId="4" fillId="0" borderId="0" xfId="2" applyNumberFormat="1" applyFont="1" applyFill="1"/>
    <xf numFmtId="164" fontId="4" fillId="0" borderId="1" xfId="2" applyNumberFormat="1" applyFont="1" applyFill="1" applyBorder="1"/>
    <xf numFmtId="164" fontId="4" fillId="2" borderId="2" xfId="2" applyNumberFormat="1" applyFont="1" applyFill="1" applyBorder="1"/>
    <xf numFmtId="164" fontId="4" fillId="2" borderId="0" xfId="0" quotePrefix="1" applyNumberFormat="1" applyFont="1" applyFill="1"/>
    <xf numFmtId="44" fontId="4" fillId="0" borderId="0" xfId="0" applyNumberFormat="1" applyFont="1"/>
    <xf numFmtId="164" fontId="4" fillId="2" borderId="3" xfId="2" applyNumberFormat="1" applyFont="1" applyFill="1" applyBorder="1"/>
    <xf numFmtId="0" fontId="3" fillId="2" borderId="0" xfId="0" applyFont="1" applyFill="1" applyAlignment="1">
      <alignment wrapText="1"/>
    </xf>
    <xf numFmtId="164" fontId="4" fillId="2" borderId="4" xfId="2" applyNumberFormat="1" applyFont="1" applyFill="1" applyBorder="1"/>
    <xf numFmtId="0" fontId="4" fillId="2" borderId="0" xfId="0" applyFont="1" applyFill="1" applyAlignment="1">
      <alignment horizontal="fill" vertical="justify"/>
    </xf>
    <xf numFmtId="164" fontId="4" fillId="2" borderId="0" xfId="0" applyNumberFormat="1" applyFont="1" applyFill="1" applyAlignment="1">
      <alignment horizontal="fill" vertical="justify"/>
    </xf>
    <xf numFmtId="0" fontId="3" fillId="0" borderId="0" xfId="0" quotePrefix="1" applyFont="1" applyFill="1"/>
    <xf numFmtId="0" fontId="3" fillId="2" borderId="0" xfId="0" quotePrefix="1" applyFont="1" applyFill="1"/>
    <xf numFmtId="164" fontId="4" fillId="2" borderId="3" xfId="0" applyNumberFormat="1" applyFont="1" applyFill="1" applyBorder="1"/>
    <xf numFmtId="164" fontId="4" fillId="2" borderId="0" xfId="0" applyNumberFormat="1" applyFont="1" applyFill="1" applyBorder="1"/>
    <xf numFmtId="0" fontId="4" fillId="2" borderId="0" xfId="0" applyFont="1" applyFill="1" applyBorder="1"/>
    <xf numFmtId="0" fontId="2" fillId="0" borderId="0" xfId="0" applyFont="1"/>
    <xf numFmtId="165" fontId="0" fillId="0" borderId="0" xfId="1" applyNumberFormat="1" applyFont="1" applyFill="1"/>
    <xf numFmtId="165" fontId="0" fillId="0" borderId="0" xfId="1" applyNumberFormat="1" applyFont="1"/>
    <xf numFmtId="165" fontId="1" fillId="0" borderId="0" xfId="1" applyNumberFormat="1" applyFont="1" applyFill="1"/>
    <xf numFmtId="165" fontId="0" fillId="0" borderId="2" xfId="1" applyNumberFormat="1" applyFont="1" applyFill="1" applyBorder="1"/>
    <xf numFmtId="165" fontId="0" fillId="0" borderId="3" xfId="0" applyNumberFormat="1" applyFill="1" applyBorder="1"/>
    <xf numFmtId="0" fontId="0" fillId="0" borderId="0" xfId="0" applyFill="1"/>
    <xf numFmtId="165" fontId="0" fillId="0" borderId="2" xfId="1" applyNumberFormat="1" applyFont="1" applyBorder="1"/>
    <xf numFmtId="165" fontId="0" fillId="0" borderId="3" xfId="1" applyNumberFormat="1" applyFont="1" applyBorder="1"/>
    <xf numFmtId="43" fontId="0" fillId="0" borderId="3" xfId="1" applyNumberFormat="1" applyFont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4" fontId="4" fillId="2" borderId="0" xfId="2" applyNumberFormat="1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quotePrefix="1" applyFont="1"/>
    <xf numFmtId="0" fontId="3" fillId="2" borderId="0" xfId="0" applyFont="1" applyFill="1" applyAlignment="1">
      <alignment horizontal="center"/>
    </xf>
    <xf numFmtId="44" fontId="4" fillId="2" borderId="0" xfId="2" applyNumberFormat="1" applyFont="1" applyFill="1" applyBorder="1"/>
    <xf numFmtId="43" fontId="0" fillId="0" borderId="3" xfId="0" applyNumberForma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6" fontId="0" fillId="0" borderId="3" xfId="0" applyNumberForma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4" fontId="0" fillId="0" borderId="0" xfId="0" applyNumberFormat="1"/>
    <xf numFmtId="167" fontId="0" fillId="0" borderId="0" xfId="2" applyNumberFormat="1" applyFont="1"/>
    <xf numFmtId="167" fontId="0" fillId="0" borderId="0" xfId="0" applyNumberFormat="1"/>
    <xf numFmtId="167" fontId="0" fillId="0" borderId="3" xfId="2" applyNumberFormat="1" applyFont="1" applyBorder="1"/>
    <xf numFmtId="167" fontId="0" fillId="0" borderId="3" xfId="0" applyNumberFormat="1" applyBorder="1"/>
    <xf numFmtId="0" fontId="7" fillId="0" borderId="0" xfId="3"/>
    <xf numFmtId="0" fontId="7" fillId="3" borderId="0" xfId="3" applyFill="1" applyBorder="1"/>
    <xf numFmtId="0" fontId="8" fillId="3" borderId="0" xfId="3" applyFont="1" applyFill="1" applyBorder="1"/>
    <xf numFmtId="44" fontId="7" fillId="3" borderId="0" xfId="4" applyFill="1" applyBorder="1"/>
    <xf numFmtId="49" fontId="7" fillId="3" borderId="0" xfId="3" applyNumberFormat="1" applyFill="1" applyBorder="1"/>
    <xf numFmtId="44" fontId="7" fillId="3" borderId="0" xfId="3" applyNumberFormat="1" applyFill="1" applyBorder="1"/>
    <xf numFmtId="44" fontId="7" fillId="3" borderId="0" xfId="4" applyFont="1" applyFill="1" applyBorder="1"/>
    <xf numFmtId="0" fontId="7" fillId="3" borderId="0" xfId="3" applyFill="1"/>
    <xf numFmtId="44" fontId="7" fillId="3" borderId="0" xfId="3" applyNumberFormat="1" applyFill="1"/>
    <xf numFmtId="0" fontId="8" fillId="3" borderId="0" xfId="3" applyFont="1" applyFill="1"/>
    <xf numFmtId="44" fontId="8" fillId="3" borderId="3" xfId="3" applyNumberFormat="1" applyFont="1" applyFill="1" applyBorder="1"/>
    <xf numFmtId="44" fontId="8" fillId="3" borderId="3" xfId="4" applyFont="1" applyFill="1" applyBorder="1"/>
    <xf numFmtId="44" fontId="0" fillId="3" borderId="0" xfId="4" applyFont="1" applyFill="1"/>
    <xf numFmtId="44" fontId="8" fillId="3" borderId="0" xfId="4" applyFont="1" applyFill="1"/>
    <xf numFmtId="0" fontId="7" fillId="2" borderId="0" xfId="3" applyFill="1"/>
    <xf numFmtId="164" fontId="0" fillId="2" borderId="0" xfId="4" applyNumberFormat="1" applyFont="1" applyFill="1"/>
    <xf numFmtId="9" fontId="0" fillId="2" borderId="0" xfId="5" applyFont="1" applyFill="1"/>
    <xf numFmtId="0" fontId="7" fillId="2" borderId="0" xfId="3" quotePrefix="1" applyFont="1" applyFill="1"/>
    <xf numFmtId="44" fontId="7" fillId="2" borderId="0" xfId="3" quotePrefix="1" applyNumberFormat="1" applyFont="1" applyFill="1"/>
    <xf numFmtId="164" fontId="0" fillId="2" borderId="3" xfId="4" applyNumberFormat="1" applyFont="1" applyFill="1" applyBorder="1"/>
    <xf numFmtId="9" fontId="7" fillId="2" borderId="3" xfId="3" applyNumberFormat="1" applyFill="1" applyBorder="1"/>
    <xf numFmtId="44" fontId="7" fillId="2" borderId="0" xfId="3" applyNumberFormat="1" applyFont="1" applyFill="1"/>
    <xf numFmtId="44" fontId="7" fillId="2" borderId="0" xfId="3" applyNumberFormat="1" applyFill="1" applyBorder="1"/>
    <xf numFmtId="44" fontId="0" fillId="0" borderId="0" xfId="4" applyFont="1"/>
    <xf numFmtId="168" fontId="0" fillId="0" borderId="0" xfId="5" applyNumberFormat="1" applyFont="1"/>
    <xf numFmtId="0" fontId="7" fillId="3" borderId="0" xfId="3" quotePrefix="1" applyFont="1" applyFill="1"/>
    <xf numFmtId="0" fontId="7" fillId="2" borderId="0" xfId="3" applyFont="1" applyFill="1"/>
    <xf numFmtId="44" fontId="0" fillId="2" borderId="3" xfId="4" applyNumberFormat="1" applyFont="1" applyFill="1" applyBorder="1"/>
    <xf numFmtId="44" fontId="0" fillId="2" borderId="0" xfId="4" applyNumberFormat="1" applyFont="1" applyFill="1"/>
    <xf numFmtId="0" fontId="7" fillId="3" borderId="0" xfId="3" applyFont="1" applyFill="1" applyBorder="1"/>
    <xf numFmtId="0" fontId="3" fillId="2" borderId="0" xfId="0" applyFont="1" applyFill="1" applyAlignment="1">
      <alignment horizontal="center"/>
    </xf>
    <xf numFmtId="0" fontId="8" fillId="3" borderId="0" xfId="3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Currency 2" xfId="4" xr:uid="{00000000-0005-0000-0000-000002000000}"/>
    <cellStyle name="Normal" xfId="0" builtinId="0"/>
    <cellStyle name="Normal 2" xfId="3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1.xml"/><Relationship Id="rId66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65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FY01-02\J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sidevdot.cov.virginia.gov/Finance/RECONCILIATIONS/FY15/07-2014%20Recon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FEB. 1998"/>
      <sheetName val="MARCH 98"/>
      <sheetName val="APRIL 98 "/>
      <sheetName val="MAY 98  "/>
      <sheetName val="JUNE 98"/>
      <sheetName val="JULY 98"/>
      <sheetName val="AUGUST 98"/>
      <sheetName val="SEPTEMBER 98"/>
      <sheetName val="OCTOBER 98 "/>
      <sheetName val="NOVEMBER 98 "/>
      <sheetName val="DECEMBER 98  "/>
      <sheetName val="JANUARY 99"/>
      <sheetName val="FEBRUARY 99 "/>
      <sheetName val="MARCH 99  "/>
      <sheetName val="APRIL 99  "/>
      <sheetName val="MAY 99"/>
      <sheetName val="JUNE 99 "/>
      <sheetName val="CAPITAL FY99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>
        <row r="1">
          <cell r="A1" t="str">
            <v>JE-1</v>
          </cell>
          <cell r="C1">
            <v>1011400</v>
          </cell>
          <cell r="D1">
            <v>228.02</v>
          </cell>
        </row>
        <row r="2">
          <cell r="A2" t="str">
            <v xml:space="preserve">  M. LYNCH  ENTRY</v>
          </cell>
          <cell r="C2">
            <v>7000010</v>
          </cell>
          <cell r="E2">
            <v>228.02</v>
          </cell>
        </row>
        <row r="4">
          <cell r="A4" t="str">
            <v>JE-2</v>
          </cell>
          <cell r="C4">
            <v>6060689</v>
          </cell>
          <cell r="D4">
            <v>1382.32</v>
          </cell>
        </row>
        <row r="5">
          <cell r="A5" t="str">
            <v xml:space="preserve">  RETIREES INSURANCE</v>
          </cell>
          <cell r="C5">
            <v>2013000</v>
          </cell>
          <cell r="E5">
            <v>1382.32</v>
          </cell>
        </row>
        <row r="7">
          <cell r="A7" t="str">
            <v>JE-3</v>
          </cell>
          <cell r="C7">
            <v>1010200</v>
          </cell>
          <cell r="D7">
            <v>12668.23</v>
          </cell>
        </row>
        <row r="8">
          <cell r="A8" t="str">
            <v xml:space="preserve">  INTEREST - BANK ACCT.</v>
          </cell>
          <cell r="C8">
            <v>7000010</v>
          </cell>
          <cell r="E8">
            <v>12668.23</v>
          </cell>
        </row>
        <row r="10">
          <cell r="A10" t="str">
            <v>JE-4</v>
          </cell>
          <cell r="C10">
            <v>1011300</v>
          </cell>
          <cell r="D10">
            <v>274.11</v>
          </cell>
        </row>
        <row r="11">
          <cell r="A11" t="str">
            <v xml:space="preserve">  INTEREST - AIP08</v>
          </cell>
          <cell r="C11">
            <v>7000021</v>
          </cell>
          <cell r="E11">
            <v>274.11</v>
          </cell>
        </row>
        <row r="13">
          <cell r="A13" t="str">
            <v>JE-5</v>
          </cell>
          <cell r="C13">
            <v>1010500</v>
          </cell>
          <cell r="D13">
            <v>0</v>
          </cell>
        </row>
        <row r="14">
          <cell r="A14" t="str">
            <v xml:space="preserve">  MEDICAL REIMBURSEMENT TXS</v>
          </cell>
          <cell r="C14">
            <v>2012400</v>
          </cell>
          <cell r="E14">
            <v>0</v>
          </cell>
        </row>
        <row r="15">
          <cell r="C15">
            <v>2012400</v>
          </cell>
          <cell r="D15">
            <v>1511.5</v>
          </cell>
        </row>
        <row r="16">
          <cell r="C16">
            <v>1010500</v>
          </cell>
          <cell r="E16">
            <v>1511.5</v>
          </cell>
        </row>
        <row r="18">
          <cell r="A18" t="str">
            <v>JE-6</v>
          </cell>
          <cell r="C18">
            <v>1011900</v>
          </cell>
          <cell r="D18">
            <v>868.8</v>
          </cell>
        </row>
        <row r="19">
          <cell r="A19" t="str">
            <v xml:space="preserve">  BONDS/NOTES ENTRY</v>
          </cell>
          <cell r="C19">
            <v>1011951</v>
          </cell>
          <cell r="D19">
            <v>0.31</v>
          </cell>
        </row>
        <row r="20">
          <cell r="C20">
            <v>1011954</v>
          </cell>
          <cell r="D20">
            <v>43.99</v>
          </cell>
        </row>
        <row r="21">
          <cell r="C21">
            <v>7000020</v>
          </cell>
          <cell r="E21">
            <v>913.1</v>
          </cell>
        </row>
        <row r="23">
          <cell r="A23" t="str">
            <v>JE-7</v>
          </cell>
          <cell r="C23">
            <v>6060606</v>
          </cell>
          <cell r="D23">
            <v>195.07</v>
          </cell>
        </row>
        <row r="24">
          <cell r="A24" t="str">
            <v xml:space="preserve">  VISA/MC CHARGES</v>
          </cell>
          <cell r="C24">
            <v>1010200</v>
          </cell>
          <cell r="E24">
            <v>195.07</v>
          </cell>
        </row>
        <row r="26">
          <cell r="A26" t="str">
            <v>JE-8</v>
          </cell>
          <cell r="C26">
            <v>2014000</v>
          </cell>
          <cell r="D26">
            <v>12119.05</v>
          </cell>
        </row>
        <row r="27">
          <cell r="A27" t="str">
            <v xml:space="preserve">  FEDERAL TAX DEPOSITS</v>
          </cell>
          <cell r="C27">
            <v>2014200</v>
          </cell>
          <cell r="D27">
            <v>16155.56</v>
          </cell>
        </row>
        <row r="28">
          <cell r="C28">
            <v>1010200</v>
          </cell>
          <cell r="E28">
            <v>28274.61</v>
          </cell>
        </row>
        <row r="30">
          <cell r="A30" t="str">
            <v>JE-9</v>
          </cell>
          <cell r="C30">
            <v>1010200</v>
          </cell>
          <cell r="D30">
            <v>500000</v>
          </cell>
        </row>
        <row r="31">
          <cell r="A31" t="str">
            <v xml:space="preserve">  INVESTMENT TXS</v>
          </cell>
          <cell r="C31">
            <v>1011100</v>
          </cell>
          <cell r="E31">
            <v>495375</v>
          </cell>
        </row>
        <row r="32">
          <cell r="C32">
            <v>7000010</v>
          </cell>
          <cell r="E32">
            <v>4625</v>
          </cell>
        </row>
        <row r="33">
          <cell r="C33">
            <v>1011100</v>
          </cell>
          <cell r="D33">
            <v>495656.94</v>
          </cell>
        </row>
        <row r="34">
          <cell r="C34">
            <v>1010200</v>
          </cell>
          <cell r="E34">
            <v>495656.94</v>
          </cell>
        </row>
        <row r="35">
          <cell r="C35">
            <v>1010200</v>
          </cell>
          <cell r="D35">
            <v>500000</v>
          </cell>
        </row>
        <row r="36">
          <cell r="C36">
            <v>1011100</v>
          </cell>
          <cell r="E36">
            <v>496822.22</v>
          </cell>
        </row>
        <row r="37">
          <cell r="C37">
            <v>7000010</v>
          </cell>
          <cell r="E37">
            <v>3177.78</v>
          </cell>
        </row>
        <row r="38">
          <cell r="C38">
            <v>1011100</v>
          </cell>
          <cell r="D38">
            <v>495450</v>
          </cell>
        </row>
        <row r="39">
          <cell r="C39">
            <v>1010200</v>
          </cell>
          <cell r="E39">
            <v>495450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"/>
      <sheetName val="Change Fund #10100"/>
      <sheetName val="CIB #10200-TOWNE"/>
      <sheetName val="Capital #10300"/>
      <sheetName val="Payroll #10400"/>
      <sheetName val="Reimb #10500"/>
      <sheetName val="E Share #10700"/>
      <sheetName val="Parking Fund #10800"/>
      <sheetName val="Investments #11100"/>
      <sheetName val="PFC Funds #11200"/>
      <sheetName val="MM JUL14"/>
      <sheetName val="State Ent #11400"/>
      <sheetName val="US DOT SCAS #11500"/>
      <sheetName val="RAISE US DOT #11600"/>
      <sheetName val="Note Interest #12000"/>
      <sheetName val="Acct Rec #13000"/>
      <sheetName val="Acct Rec FAA #13100"/>
      <sheetName val="Acct Rec VDOA #13200"/>
      <sheetName val="Acct Rec Other #13300"/>
      <sheetName val="Accr Int Rec #13400"/>
      <sheetName val="10Bond - Int Exp $6.5M"/>
      <sheetName val="Adv Prepaid #14000"/>
      <sheetName val="Security Deposits #14200"/>
      <sheetName val="Due From Newport News #14300"/>
      <sheetName val="Inventory #14500"/>
      <sheetName val="CIP #15000"/>
      <sheetName val="UNAMT BOND COST #17000&amp;17100"/>
      <sheetName val="2011"/>
      <sheetName val="AP #21100"/>
      <sheetName val="AP-ICMA #21120"/>
      <sheetName val="EMP ACTIVITIES #21130"/>
      <sheetName val="ACCR PAYROLL #21210"/>
      <sheetName val="ACCR VACATION #21220"/>
      <sheetName val="ACCR SICK # 21230"/>
      <sheetName val="STATE RETIRE #21300"/>
      <sheetName val="VRS INS #21310"/>
      <sheetName val="LEGAL RES #21320"/>
      <sheetName val="HLTH INS PREM #21340"/>
      <sheetName val="DENTAL INS PREM #21342"/>
      <sheetName val="VISION INS PREM #21344"/>
      <sheetName val="RETIREE INS PREM #21346"/>
      <sheetName val="SUPLEMTL INS # 21350"/>
      <sheetName val="MISC DED #21360"/>
      <sheetName val="UNITED WAY #21370"/>
      <sheetName val="REIMB WHold #21380"/>
      <sheetName val="FED WHOLD #21400"/>
      <sheetName val="FICA #21410"/>
      <sheetName val="STATE WHOLD #21420"/>
      <sheetName val="VA-SUI #21430"/>
      <sheetName val="FED UNEMP-FUI #21440"/>
      <sheetName val="RENTS #21500"/>
      <sheetName val="POLICE FUND #21520"/>
      <sheetName val="POLICE FUND #21530"/>
      <sheetName val="DUE TO ETF #21540"/>
      <sheetName val="AIP 2001 BOND #21610"/>
      <sheetName val="ARA 2002 BOND #21620"/>
      <sheetName val="AIP 2005A BOND #21630"/>
      <sheetName val="AIP 2005B BOND #21640"/>
      <sheetName val="OPED LIABILITY #21650"/>
      <sheetName val="DEFERRED #21700"/>
      <sheetName val="STATE #31000"/>
      <sheetName val="PFC #31010"/>
      <sheetName val="RE-JOB #31050"/>
      <sheetName val="RET EARN #32000"/>
    </sheetNames>
    <sheetDataSet>
      <sheetData sheetId="0" refreshError="1"/>
      <sheetData sheetId="1" refreshError="1"/>
      <sheetData sheetId="2">
        <row r="4">
          <cell r="A4" t="str">
            <v>JULY 31, 2014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zoomScaleNormal="100" workbookViewId="0">
      <selection activeCell="A3" sqref="A3:D3"/>
    </sheetView>
  </sheetViews>
  <sheetFormatPr defaultColWidth="9.109375" defaultRowHeight="15" x14ac:dyDescent="0.25"/>
  <cols>
    <col min="1" max="1" width="49.44140625" style="2" bestFit="1" customWidth="1"/>
    <col min="2" max="4" width="19.109375" style="2" customWidth="1"/>
    <col min="5" max="5" width="5.88671875" style="2" customWidth="1"/>
    <col min="6" max="7" width="9.109375" style="2"/>
    <col min="8" max="8" width="15.6640625" style="2" customWidth="1"/>
    <col min="9" max="9" width="3.5546875" style="2" customWidth="1"/>
    <col min="10" max="10" width="15.109375" style="2" bestFit="1" customWidth="1"/>
    <col min="11" max="16384" width="9.109375" style="2"/>
  </cols>
  <sheetData>
    <row r="1" spans="1:10" ht="15.6" x14ac:dyDescent="0.3">
      <c r="A1" s="96" t="s">
        <v>0</v>
      </c>
      <c r="B1" s="96"/>
      <c r="C1" s="96"/>
      <c r="D1" s="96"/>
      <c r="E1" s="1"/>
      <c r="F1" s="1"/>
    </row>
    <row r="2" spans="1:10" ht="15.6" x14ac:dyDescent="0.3">
      <c r="A2" s="96" t="s">
        <v>1</v>
      </c>
      <c r="B2" s="96"/>
      <c r="C2" s="96"/>
      <c r="D2" s="96"/>
      <c r="E2" s="1"/>
      <c r="F2" s="1"/>
    </row>
    <row r="3" spans="1:10" ht="15.6" x14ac:dyDescent="0.3">
      <c r="A3" s="96" t="s">
        <v>128</v>
      </c>
      <c r="B3" s="96"/>
      <c r="C3" s="96"/>
      <c r="D3" s="96"/>
      <c r="E3" s="1"/>
      <c r="F3" s="1"/>
    </row>
    <row r="4" spans="1:10" ht="15.6" x14ac:dyDescent="0.3">
      <c r="A4" s="59"/>
      <c r="B4" s="59"/>
      <c r="C4" s="59"/>
      <c r="D4" s="59"/>
      <c r="E4" s="1"/>
      <c r="F4" s="1"/>
    </row>
    <row r="5" spans="1:10" ht="15.6" x14ac:dyDescent="0.3">
      <c r="A5" s="59"/>
      <c r="B5" s="59"/>
      <c r="C5" s="59"/>
      <c r="D5" s="59"/>
      <c r="E5" s="1"/>
      <c r="F5" s="1"/>
    </row>
    <row r="6" spans="1:10" x14ac:dyDescent="0.25">
      <c r="A6" s="1"/>
      <c r="B6" s="1"/>
      <c r="C6" s="1"/>
      <c r="D6" s="4"/>
      <c r="E6" s="1"/>
      <c r="F6" s="1"/>
    </row>
    <row r="7" spans="1:10" x14ac:dyDescent="0.25">
      <c r="A7" s="1"/>
      <c r="B7" s="1"/>
      <c r="C7" s="1"/>
      <c r="D7" s="1"/>
      <c r="E7" s="1"/>
      <c r="F7" s="1"/>
      <c r="G7" s="5"/>
      <c r="H7" s="5"/>
      <c r="I7" s="5"/>
      <c r="J7" s="5"/>
    </row>
    <row r="8" spans="1:10" ht="15.6" x14ac:dyDescent="0.3">
      <c r="A8" s="6"/>
      <c r="B8" s="7"/>
      <c r="C8" s="7"/>
      <c r="D8" s="8"/>
      <c r="E8" s="1"/>
      <c r="F8" s="1"/>
      <c r="G8" s="5"/>
      <c r="H8" s="9"/>
      <c r="I8" s="5"/>
      <c r="J8" s="9"/>
    </row>
    <row r="9" spans="1:10" ht="15.6" x14ac:dyDescent="0.3">
      <c r="A9" s="6" t="s">
        <v>3</v>
      </c>
      <c r="B9" s="7">
        <v>473292.82</v>
      </c>
      <c r="C9" s="7"/>
      <c r="D9" s="8"/>
      <c r="E9" s="1"/>
      <c r="F9" s="1"/>
      <c r="G9" s="5"/>
      <c r="H9" s="9"/>
      <c r="I9" s="5"/>
      <c r="J9" s="9"/>
    </row>
    <row r="10" spans="1:10" ht="15.6" x14ac:dyDescent="0.3">
      <c r="A10" s="6" t="s">
        <v>110</v>
      </c>
      <c r="B10" s="10">
        <f>211446.28-24779.88+78.5-111574.11-91733.52+58333.33-161400.29-115889.95+5967.94-32783.42-21270.42-422010.42-15217.38-658.38+504110.83-401563.36+730.05-24342.39-21808.18+234991.91</f>
        <v>-429372.86</v>
      </c>
      <c r="C10" s="10"/>
      <c r="D10" s="8"/>
      <c r="E10" s="1"/>
      <c r="F10" s="1"/>
      <c r="G10" s="5"/>
      <c r="H10" s="9"/>
      <c r="I10" s="5"/>
      <c r="J10" s="9"/>
    </row>
    <row r="11" spans="1:10" ht="15.6" x14ac:dyDescent="0.3">
      <c r="A11" s="6" t="s">
        <v>5</v>
      </c>
      <c r="B11" s="10">
        <v>0</v>
      </c>
      <c r="C11" s="11"/>
      <c r="D11" s="8"/>
      <c r="E11" s="1"/>
      <c r="F11" s="1"/>
      <c r="H11" s="12"/>
    </row>
    <row r="12" spans="1:10" ht="15.6" x14ac:dyDescent="0.3">
      <c r="A12" s="6" t="s">
        <v>6</v>
      </c>
      <c r="B12" s="10">
        <v>0</v>
      </c>
      <c r="C12" s="11"/>
      <c r="D12" s="8"/>
      <c r="E12" s="1"/>
      <c r="F12" s="1"/>
      <c r="H12" s="12"/>
    </row>
    <row r="13" spans="1:10" ht="15.6" hidden="1" x14ac:dyDescent="0.3">
      <c r="A13" s="6" t="s">
        <v>7</v>
      </c>
      <c r="B13" s="10">
        <v>0</v>
      </c>
      <c r="C13" s="11"/>
      <c r="D13" s="8"/>
      <c r="E13" s="1"/>
      <c r="F13" s="1"/>
      <c r="H13" s="12"/>
    </row>
    <row r="14" spans="1:10" ht="15.6" hidden="1" x14ac:dyDescent="0.3">
      <c r="A14" s="6" t="s">
        <v>8</v>
      </c>
      <c r="B14" s="10">
        <v>0</v>
      </c>
      <c r="C14" s="11"/>
      <c r="D14" s="8"/>
      <c r="E14" s="1"/>
      <c r="F14" s="1"/>
      <c r="H14" s="12"/>
    </row>
    <row r="15" spans="1:10" ht="15.6" x14ac:dyDescent="0.3">
      <c r="A15" s="6" t="s">
        <v>55</v>
      </c>
      <c r="B15" s="13">
        <v>4015.15</v>
      </c>
      <c r="C15" s="14"/>
      <c r="D15" s="8"/>
      <c r="E15" s="1"/>
      <c r="F15" s="1"/>
      <c r="H15" s="12"/>
    </row>
    <row r="16" spans="1:10" ht="15.6" x14ac:dyDescent="0.3">
      <c r="A16" s="15" t="s">
        <v>9</v>
      </c>
      <c r="B16" s="7"/>
      <c r="C16" s="7">
        <f>SUM(B8:B15)</f>
        <v>47935.110000000022</v>
      </c>
      <c r="D16" s="8"/>
      <c r="E16" s="1"/>
      <c r="F16" s="1"/>
      <c r="G16" s="5"/>
      <c r="H16" s="16"/>
      <c r="I16" s="17"/>
      <c r="J16" s="16"/>
    </row>
    <row r="17" spans="1:8" x14ac:dyDescent="0.25">
      <c r="A17" s="1"/>
      <c r="B17" s="7"/>
      <c r="C17" s="7"/>
      <c r="D17" s="8"/>
      <c r="E17" s="1"/>
      <c r="F17" s="1"/>
    </row>
    <row r="18" spans="1:8" ht="15.6" x14ac:dyDescent="0.3">
      <c r="A18" s="6" t="s">
        <v>10</v>
      </c>
      <c r="B18" s="18">
        <v>1332809.58</v>
      </c>
      <c r="C18" s="7"/>
      <c r="D18" s="8"/>
      <c r="E18" s="1"/>
      <c r="F18" s="1"/>
      <c r="H18" s="12"/>
    </row>
    <row r="19" spans="1:8" ht="15.6" x14ac:dyDescent="0.3">
      <c r="A19" s="6" t="s">
        <v>11</v>
      </c>
      <c r="B19" s="7">
        <f>-+B10+1039062.47</f>
        <v>1468435.33</v>
      </c>
      <c r="C19" s="10"/>
      <c r="D19" s="8"/>
      <c r="E19" s="1"/>
      <c r="F19" s="1"/>
      <c r="H19" s="12"/>
    </row>
    <row r="20" spans="1:8" ht="15.6" x14ac:dyDescent="0.3">
      <c r="A20" s="6" t="s">
        <v>12</v>
      </c>
      <c r="B20" s="7">
        <v>1158095.92</v>
      </c>
      <c r="C20" s="11"/>
      <c r="D20" s="8"/>
      <c r="E20" s="1"/>
      <c r="F20" s="1"/>
      <c r="H20" s="12"/>
    </row>
    <row r="21" spans="1:8" ht="15.6" x14ac:dyDescent="0.3">
      <c r="A21" s="6" t="s">
        <v>13</v>
      </c>
      <c r="B21" s="19">
        <f>2800+1665+11020.12</f>
        <v>15485.12</v>
      </c>
      <c r="C21" s="13"/>
      <c r="D21" s="8"/>
      <c r="E21" s="1"/>
      <c r="F21" s="1"/>
      <c r="H21" s="12"/>
    </row>
    <row r="22" spans="1:8" ht="15.6" x14ac:dyDescent="0.3">
      <c r="A22" s="6" t="s">
        <v>14</v>
      </c>
      <c r="B22" s="10"/>
      <c r="C22" s="10">
        <f>SUM(B18:B21)</f>
        <v>3974825.95</v>
      </c>
      <c r="D22" s="8"/>
      <c r="E22" s="1"/>
      <c r="F22" s="1"/>
      <c r="H22" s="12"/>
    </row>
    <row r="23" spans="1:8" ht="6" customHeight="1" x14ac:dyDescent="0.3">
      <c r="A23" s="6"/>
      <c r="B23" s="10"/>
      <c r="C23" s="10"/>
      <c r="D23" s="8"/>
      <c r="E23" s="1"/>
      <c r="F23" s="1"/>
      <c r="H23" s="12"/>
    </row>
    <row r="24" spans="1:8" ht="15.6" x14ac:dyDescent="0.3">
      <c r="A24" s="6" t="s">
        <v>15</v>
      </c>
      <c r="B24" s="7"/>
      <c r="C24" s="20">
        <f>C16+C22</f>
        <v>4022761.06</v>
      </c>
      <c r="D24" s="8"/>
      <c r="E24" s="1"/>
      <c r="F24" s="1"/>
      <c r="H24" s="12"/>
    </row>
    <row r="25" spans="1:8" ht="6" customHeight="1" x14ac:dyDescent="0.25">
      <c r="A25" s="1"/>
      <c r="B25" s="7"/>
      <c r="C25" s="7"/>
      <c r="D25" s="8"/>
      <c r="E25" s="1"/>
      <c r="F25" s="1"/>
    </row>
    <row r="26" spans="1:8" ht="15.6" x14ac:dyDescent="0.3">
      <c r="A26" s="6" t="s">
        <v>16</v>
      </c>
      <c r="B26" s="7"/>
      <c r="C26" s="10">
        <v>0</v>
      </c>
      <c r="D26" s="21"/>
      <c r="E26" s="1"/>
      <c r="F26" s="1"/>
      <c r="H26" s="22"/>
    </row>
    <row r="27" spans="1:8" ht="6" customHeight="1" x14ac:dyDescent="0.3">
      <c r="A27" s="6"/>
      <c r="B27" s="10"/>
      <c r="C27" s="10"/>
      <c r="D27" s="21"/>
      <c r="E27" s="1"/>
      <c r="F27" s="1"/>
      <c r="H27" s="22"/>
    </row>
    <row r="28" spans="1:8" ht="16.2" thickBot="1" x14ac:dyDescent="0.35">
      <c r="A28" s="6" t="s">
        <v>17</v>
      </c>
      <c r="B28" s="7"/>
      <c r="C28" s="23">
        <f>C16+B30</f>
        <v>4022761.06</v>
      </c>
      <c r="E28" s="1"/>
      <c r="F28" s="1"/>
      <c r="H28" s="22"/>
    </row>
    <row r="29" spans="1:8" ht="15.6" thickTop="1" x14ac:dyDescent="0.25">
      <c r="A29" s="1"/>
      <c r="B29" s="1"/>
      <c r="C29" s="1"/>
      <c r="D29" s="1"/>
      <c r="E29" s="1"/>
      <c r="F29" s="1"/>
    </row>
    <row r="30" spans="1:8" ht="16.2" thickBot="1" x14ac:dyDescent="0.35">
      <c r="A30" s="24" t="s">
        <v>18</v>
      </c>
      <c r="B30" s="25">
        <f>C22+C26</f>
        <v>3974825.95</v>
      </c>
      <c r="C30" s="26"/>
      <c r="D30" s="27"/>
      <c r="E30" s="26"/>
      <c r="F30" s="26"/>
    </row>
    <row r="31" spans="1:8" ht="16.2" thickTop="1" x14ac:dyDescent="0.3">
      <c r="A31" s="24"/>
      <c r="B31" s="10"/>
      <c r="C31" s="26"/>
      <c r="D31" s="27"/>
      <c r="E31" s="26"/>
      <c r="F31" s="26"/>
    </row>
    <row r="32" spans="1:8" ht="5.25" customHeight="1" x14ac:dyDescent="0.3">
      <c r="A32" s="24"/>
      <c r="B32" s="10"/>
      <c r="C32" s="26"/>
      <c r="D32" s="27"/>
      <c r="E32" s="26"/>
      <c r="F32" s="26"/>
    </row>
    <row r="33" spans="1:6" ht="15.6" x14ac:dyDescent="0.3">
      <c r="A33" s="28" t="s">
        <v>132</v>
      </c>
      <c r="B33" s="1"/>
      <c r="C33" s="1"/>
      <c r="D33" s="1"/>
      <c r="E33" s="1"/>
      <c r="F33" s="1"/>
    </row>
    <row r="34" spans="1:6" ht="15.6" x14ac:dyDescent="0.3">
      <c r="A34" s="29" t="s">
        <v>130</v>
      </c>
      <c r="B34" s="1"/>
      <c r="C34" s="1"/>
      <c r="D34" s="1"/>
      <c r="E34" s="1"/>
      <c r="F34" s="1"/>
    </row>
    <row r="35" spans="1:6" ht="15.6" x14ac:dyDescent="0.3">
      <c r="A35" s="6" t="s">
        <v>131</v>
      </c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ht="15.6" x14ac:dyDescent="0.3">
      <c r="A37" s="6" t="s">
        <v>22</v>
      </c>
      <c r="B37" s="1"/>
      <c r="C37" s="1"/>
      <c r="D37" s="1"/>
      <c r="E37" s="1"/>
      <c r="F37" s="1"/>
    </row>
    <row r="38" spans="1:6" ht="15.6" x14ac:dyDescent="0.3">
      <c r="A38" s="6" t="s">
        <v>25</v>
      </c>
      <c r="B38" s="7">
        <v>166500</v>
      </c>
      <c r="C38" s="10"/>
      <c r="D38" s="1"/>
      <c r="E38" s="1"/>
      <c r="F38" s="1"/>
    </row>
    <row r="39" spans="1:6" ht="15.6" hidden="1" x14ac:dyDescent="0.3">
      <c r="A39" s="6" t="s">
        <v>26</v>
      </c>
      <c r="B39" s="7"/>
      <c r="C39" s="10"/>
      <c r="D39" s="1"/>
      <c r="E39" s="1"/>
      <c r="F39" s="1"/>
    </row>
    <row r="40" spans="1:6" ht="15.6" thickBot="1" x14ac:dyDescent="0.3">
      <c r="A40" s="1"/>
      <c r="B40" s="30">
        <f>SUM(B38:B39)</f>
        <v>166500</v>
      </c>
      <c r="C40" s="31"/>
      <c r="D40" s="1"/>
      <c r="E40" s="1"/>
      <c r="F40" s="1"/>
    </row>
    <row r="41" spans="1:6" ht="15.6" thickTop="1" x14ac:dyDescent="0.25">
      <c r="A41" s="1"/>
      <c r="B41" s="1"/>
      <c r="C41" s="32"/>
      <c r="D41" s="1"/>
      <c r="E41" s="1"/>
      <c r="F41" s="1"/>
    </row>
    <row r="42" spans="1:6" ht="15.6" x14ac:dyDescent="0.3">
      <c r="A42" s="52" t="s">
        <v>111</v>
      </c>
    </row>
  </sheetData>
  <mergeCells count="3">
    <mergeCell ref="A1:D1"/>
    <mergeCell ref="A2:D2"/>
    <mergeCell ref="A3:D3"/>
  </mergeCells>
  <pageMargins left="0.45" right="0.2" top="0.75" bottom="0.75" header="0.3" footer="0.3"/>
  <pageSetup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transitionEntry="1">
    <pageSetUpPr fitToPage="1"/>
  </sheetPr>
  <dimension ref="A1:H38"/>
  <sheetViews>
    <sheetView workbookViewId="0">
      <selection activeCell="A5" sqref="A5"/>
    </sheetView>
  </sheetViews>
  <sheetFormatPr defaultColWidth="9.109375" defaultRowHeight="13.2" x14ac:dyDescent="0.25"/>
  <cols>
    <col min="1" max="1" width="13.5546875" style="66" customWidth="1"/>
    <col min="2" max="2" width="14" style="66" bestFit="1" customWidth="1"/>
    <col min="3" max="3" width="2" style="66" customWidth="1"/>
    <col min="4" max="4" width="10.109375" style="66" customWidth="1"/>
    <col min="5" max="5" width="13.33203125" style="66" bestFit="1" customWidth="1"/>
    <col min="6" max="6" width="15.5546875" style="66" customWidth="1"/>
    <col min="7" max="7" width="14.6640625" style="66" customWidth="1"/>
    <col min="8" max="8" width="14.5546875" style="66" bestFit="1" customWidth="1"/>
    <col min="9" max="9" width="18.44140625" style="66" customWidth="1"/>
    <col min="10" max="16384" width="9.109375" style="66"/>
  </cols>
  <sheetData>
    <row r="1" spans="1:8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8" x14ac:dyDescent="0.25">
      <c r="A2" s="97" t="s">
        <v>172</v>
      </c>
      <c r="B2" s="97"/>
      <c r="C2" s="97"/>
      <c r="D2" s="97"/>
      <c r="E2" s="97"/>
      <c r="F2" s="97"/>
      <c r="G2" s="97"/>
      <c r="H2" s="97"/>
    </row>
    <row r="3" spans="1:8" x14ac:dyDescent="0.25">
      <c r="A3" s="97" t="s">
        <v>173</v>
      </c>
      <c r="B3" s="97"/>
      <c r="C3" s="97"/>
      <c r="D3" s="97"/>
      <c r="E3" s="97"/>
      <c r="F3" s="97"/>
      <c r="G3" s="97"/>
      <c r="H3" s="97"/>
    </row>
    <row r="4" spans="1:8" x14ac:dyDescent="0.25">
      <c r="A4" s="97" t="s">
        <v>210</v>
      </c>
      <c r="B4" s="97"/>
      <c r="C4" s="97"/>
      <c r="D4" s="97"/>
      <c r="E4" s="97"/>
      <c r="F4" s="97"/>
      <c r="G4" s="97"/>
      <c r="H4" s="97"/>
    </row>
    <row r="5" spans="1:8" x14ac:dyDescent="0.25">
      <c r="A5" s="67"/>
      <c r="B5" s="67"/>
      <c r="C5" s="67"/>
      <c r="D5" s="67"/>
      <c r="E5" s="67"/>
      <c r="F5" s="67"/>
      <c r="G5" s="67"/>
      <c r="H5" s="67"/>
    </row>
    <row r="6" spans="1:8" x14ac:dyDescent="0.25">
      <c r="A6" s="67"/>
      <c r="B6" s="67"/>
      <c r="C6" s="67"/>
      <c r="D6" s="67"/>
      <c r="E6" s="67"/>
      <c r="F6" s="67"/>
      <c r="G6" s="67"/>
      <c r="H6" s="67"/>
    </row>
    <row r="7" spans="1:8" x14ac:dyDescent="0.25">
      <c r="A7" s="67"/>
      <c r="B7" s="67"/>
      <c r="C7" s="67"/>
      <c r="D7" s="67"/>
      <c r="E7" s="67"/>
      <c r="F7" s="67"/>
      <c r="G7" s="67"/>
      <c r="H7" s="67"/>
    </row>
    <row r="8" spans="1:8" x14ac:dyDescent="0.25">
      <c r="A8" s="68" t="s">
        <v>174</v>
      </c>
      <c r="B8" s="67"/>
      <c r="C8" s="67"/>
      <c r="D8" s="67"/>
      <c r="E8" s="67"/>
      <c r="F8" s="67"/>
      <c r="G8" s="69">
        <v>1157446.94</v>
      </c>
      <c r="H8" s="67"/>
    </row>
    <row r="9" spans="1:8" x14ac:dyDescent="0.25">
      <c r="A9" s="67"/>
      <c r="B9" s="67"/>
      <c r="C9" s="67"/>
      <c r="D9" s="67"/>
      <c r="E9" s="67"/>
      <c r="F9" s="67"/>
      <c r="G9" s="67"/>
      <c r="H9" s="67"/>
    </row>
    <row r="10" spans="1:8" x14ac:dyDescent="0.25">
      <c r="A10" s="68" t="s">
        <v>175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/>
      <c r="B11" s="95"/>
      <c r="C11" s="67"/>
      <c r="D11" s="95"/>
      <c r="E11" s="67"/>
      <c r="F11" s="67"/>
      <c r="G11" s="71"/>
      <c r="H11" s="67"/>
    </row>
    <row r="12" spans="1:8" x14ac:dyDescent="0.25">
      <c r="A12" s="67"/>
      <c r="B12" s="67"/>
      <c r="C12" s="67"/>
      <c r="D12" s="67"/>
      <c r="E12" s="67"/>
      <c r="F12" s="67"/>
      <c r="G12" s="67"/>
      <c r="H12" s="67"/>
    </row>
    <row r="13" spans="1:8" x14ac:dyDescent="0.25">
      <c r="A13" s="67"/>
      <c r="B13" s="67"/>
      <c r="C13" s="67"/>
      <c r="D13" s="67"/>
      <c r="E13" s="67"/>
      <c r="F13" s="67"/>
      <c r="G13" s="67"/>
      <c r="H13" s="67"/>
    </row>
    <row r="14" spans="1:8" x14ac:dyDescent="0.25">
      <c r="A14" s="68" t="s">
        <v>176</v>
      </c>
      <c r="B14" s="67"/>
      <c r="C14" s="67"/>
      <c r="D14" s="67"/>
      <c r="E14" s="67"/>
      <c r="F14" s="67"/>
      <c r="G14" s="67"/>
      <c r="H14" s="67"/>
    </row>
    <row r="15" spans="1:8" x14ac:dyDescent="0.25">
      <c r="A15" s="70"/>
      <c r="B15" s="72"/>
      <c r="C15" s="67"/>
      <c r="D15" s="67"/>
      <c r="E15" s="69"/>
      <c r="F15" s="67"/>
      <c r="G15" s="67"/>
      <c r="H15" s="67"/>
    </row>
    <row r="16" spans="1:8" x14ac:dyDescent="0.25">
      <c r="A16" s="67"/>
      <c r="B16" s="72"/>
      <c r="C16" s="67"/>
      <c r="D16" s="67"/>
      <c r="E16" s="69"/>
      <c r="F16" s="67"/>
      <c r="G16" s="67"/>
      <c r="H16" s="67"/>
    </row>
    <row r="17" spans="1:8" x14ac:dyDescent="0.25">
      <c r="A17" s="73"/>
      <c r="B17" s="72"/>
      <c r="C17" s="73"/>
      <c r="D17" s="73"/>
      <c r="E17" s="69"/>
      <c r="F17" s="73"/>
      <c r="G17" s="73"/>
      <c r="H17" s="73"/>
    </row>
    <row r="18" spans="1:8" x14ac:dyDescent="0.25">
      <c r="A18" s="91"/>
      <c r="B18" s="72"/>
      <c r="C18" s="73"/>
      <c r="D18" s="73"/>
      <c r="E18" s="69"/>
      <c r="F18" s="73"/>
      <c r="G18" s="74"/>
      <c r="H18" s="73"/>
    </row>
    <row r="19" spans="1:8" x14ac:dyDescent="0.25">
      <c r="A19" s="73"/>
      <c r="B19" s="72"/>
      <c r="C19" s="73"/>
      <c r="D19" s="73"/>
      <c r="E19" s="73"/>
      <c r="F19" s="73"/>
      <c r="G19" s="73"/>
      <c r="H19" s="73"/>
    </row>
    <row r="20" spans="1:8" ht="13.8" thickBot="1" x14ac:dyDescent="0.3">
      <c r="A20" s="75" t="s">
        <v>177</v>
      </c>
      <c r="B20" s="72"/>
      <c r="C20" s="73"/>
      <c r="D20" s="73"/>
      <c r="E20" s="73"/>
      <c r="F20" s="73"/>
      <c r="G20" s="76">
        <f>SUM(G8:G19)</f>
        <v>1157446.94</v>
      </c>
      <c r="H20" s="73"/>
    </row>
    <row r="21" spans="1:8" ht="13.8" thickTop="1" x14ac:dyDescent="0.25">
      <c r="A21" s="73"/>
      <c r="B21" s="69"/>
      <c r="C21" s="73"/>
      <c r="D21" s="73"/>
      <c r="E21" s="73"/>
      <c r="F21" s="73"/>
      <c r="G21" s="73"/>
      <c r="H21" s="73"/>
    </row>
    <row r="22" spans="1:8" x14ac:dyDescent="0.25">
      <c r="A22" s="75" t="s">
        <v>178</v>
      </c>
      <c r="B22" s="69"/>
      <c r="C22" s="73"/>
      <c r="D22" s="73"/>
      <c r="E22" s="73"/>
      <c r="F22" s="73"/>
      <c r="G22" s="69">
        <v>1157446.94</v>
      </c>
      <c r="H22" s="73"/>
    </row>
    <row r="23" spans="1:8" x14ac:dyDescent="0.25">
      <c r="A23" s="75" t="s">
        <v>179</v>
      </c>
      <c r="B23" s="73"/>
      <c r="C23" s="73"/>
      <c r="D23" s="73"/>
      <c r="E23" s="73"/>
      <c r="F23" s="73"/>
      <c r="G23" s="69"/>
      <c r="H23" s="73"/>
    </row>
    <row r="24" spans="1:8" x14ac:dyDescent="0.25">
      <c r="A24" s="73"/>
      <c r="B24" s="73"/>
      <c r="C24" s="73"/>
      <c r="D24" s="73"/>
      <c r="E24" s="73"/>
      <c r="F24" s="73"/>
      <c r="G24" s="73"/>
      <c r="H24" s="73"/>
    </row>
    <row r="25" spans="1:8" x14ac:dyDescent="0.25">
      <c r="A25" s="73"/>
      <c r="B25" s="73"/>
      <c r="C25" s="73"/>
      <c r="D25" s="73"/>
      <c r="E25" s="73"/>
      <c r="F25" s="73"/>
      <c r="G25" s="73"/>
      <c r="H25" s="73"/>
    </row>
    <row r="26" spans="1:8" ht="13.8" thickBot="1" x14ac:dyDescent="0.3">
      <c r="A26" s="75" t="s">
        <v>180</v>
      </c>
      <c r="B26" s="73"/>
      <c r="C26" s="73"/>
      <c r="D26" s="73"/>
      <c r="E26" s="73"/>
      <c r="F26" s="73"/>
      <c r="G26" s="77">
        <f>SUM(G22:G25)</f>
        <v>1157446.94</v>
      </c>
      <c r="H26" s="73"/>
    </row>
    <row r="27" spans="1:8" ht="15" thickTop="1" x14ac:dyDescent="0.3">
      <c r="A27" s="73"/>
      <c r="B27" s="73"/>
      <c r="C27" s="73"/>
      <c r="D27" s="73"/>
      <c r="E27" s="73"/>
      <c r="F27" s="73"/>
      <c r="G27" s="78"/>
      <c r="H27" s="73"/>
    </row>
    <row r="28" spans="1:8" x14ac:dyDescent="0.25">
      <c r="A28" s="75" t="s">
        <v>181</v>
      </c>
      <c r="B28" s="73"/>
      <c r="C28" s="73"/>
      <c r="D28" s="73"/>
      <c r="E28" s="73"/>
      <c r="F28" s="73"/>
      <c r="G28" s="79">
        <f>G20-G26</f>
        <v>0</v>
      </c>
      <c r="H28" s="73"/>
    </row>
    <row r="29" spans="1:8" x14ac:dyDescent="0.25">
      <c r="A29" s="73"/>
      <c r="B29" s="73"/>
      <c r="C29" s="73"/>
      <c r="D29" s="73"/>
      <c r="E29" s="73"/>
      <c r="F29" s="73"/>
      <c r="G29" s="73"/>
      <c r="H29" s="73"/>
    </row>
    <row r="30" spans="1:8" ht="11.25" customHeight="1" x14ac:dyDescent="0.25">
      <c r="A30" s="73"/>
      <c r="B30" s="73"/>
      <c r="C30" s="73"/>
      <c r="D30" s="73"/>
      <c r="E30" s="73"/>
      <c r="F30" s="73"/>
      <c r="G30" s="73"/>
      <c r="H30" s="73"/>
    </row>
    <row r="31" spans="1:8" x14ac:dyDescent="0.25">
      <c r="A31" s="80" t="s">
        <v>182</v>
      </c>
      <c r="B31" s="80"/>
      <c r="C31" s="80"/>
      <c r="D31" s="92"/>
      <c r="E31" s="80"/>
      <c r="F31" s="80"/>
      <c r="G31" s="80"/>
      <c r="H31" s="80"/>
    </row>
    <row r="32" spans="1:8" ht="14.4" x14ac:dyDescent="0.3">
      <c r="A32" s="80" t="s">
        <v>183</v>
      </c>
      <c r="B32" s="94">
        <f>1014869.83+290.6+313.54+284.82+266.51+283.15+266.5+275.65+302.94+257.74+275.99</f>
        <v>1017687.2699999999</v>
      </c>
      <c r="C32" s="80"/>
      <c r="D32" s="82">
        <f>B32/B34</f>
        <v>0.87925176941588346</v>
      </c>
      <c r="E32" s="69">
        <f>D32*0</f>
        <v>0</v>
      </c>
      <c r="F32" s="80"/>
      <c r="G32" s="80"/>
      <c r="H32" s="80"/>
    </row>
    <row r="33" spans="1:8" ht="14.4" x14ac:dyDescent="0.3">
      <c r="A33" s="80" t="s">
        <v>145</v>
      </c>
      <c r="B33" s="94">
        <f>564104.69+161.52-78.5-225000+104.76+94.94+88.84+94.61-200000+36.6+37.85+41.31+35.15+37.9</f>
        <v>139759.66999999998</v>
      </c>
      <c r="C33" s="80" t="s">
        <v>184</v>
      </c>
      <c r="D33" s="82">
        <f>B33/B34</f>
        <v>0.12074823058411645</v>
      </c>
      <c r="E33" s="69">
        <f>-E32+0</f>
        <v>0</v>
      </c>
      <c r="F33" s="83" t="s">
        <v>198</v>
      </c>
      <c r="G33" s="84">
        <f>E33*1</f>
        <v>0</v>
      </c>
      <c r="H33" s="80"/>
    </row>
    <row r="34" spans="1:8" ht="15" thickBot="1" x14ac:dyDescent="0.35">
      <c r="A34" s="80"/>
      <c r="B34" s="93">
        <f>SUM(B32:B33)</f>
        <v>1157446.94</v>
      </c>
      <c r="C34" s="80"/>
      <c r="D34" s="86">
        <f>SUM(D32:D33)</f>
        <v>0.99999999999999989</v>
      </c>
      <c r="E34" s="87"/>
      <c r="F34" s="83" t="s">
        <v>199</v>
      </c>
      <c r="G34" s="84">
        <f>E33*0</f>
        <v>0</v>
      </c>
      <c r="H34" s="80"/>
    </row>
    <row r="35" spans="1:8" ht="13.8" thickTop="1" x14ac:dyDescent="0.25">
      <c r="A35" s="80"/>
      <c r="B35" s="80"/>
      <c r="C35" s="80"/>
      <c r="D35" s="80"/>
      <c r="E35" s="80"/>
      <c r="F35" s="88"/>
      <c r="G35" s="80"/>
      <c r="H35" s="80"/>
    </row>
    <row r="36" spans="1:8" x14ac:dyDescent="0.25">
      <c r="A36" s="83" t="s">
        <v>187</v>
      </c>
      <c r="B36" s="80"/>
      <c r="C36" s="80"/>
      <c r="D36" s="80"/>
      <c r="E36" s="80"/>
      <c r="F36" s="80"/>
      <c r="G36" s="80"/>
      <c r="H36" s="80"/>
    </row>
    <row r="38" spans="1:8" ht="14.4" x14ac:dyDescent="0.3">
      <c r="A38" s="89">
        <v>0</v>
      </c>
      <c r="B38" s="90">
        <f>A38/B33</f>
        <v>0</v>
      </c>
    </row>
  </sheetData>
  <mergeCells count="4">
    <mergeCell ref="A1:H1"/>
    <mergeCell ref="A2:H2"/>
    <mergeCell ref="A3:H3"/>
    <mergeCell ref="A4:H4"/>
  </mergeCells>
  <pageMargins left="0.54" right="0.45" top="0.52" bottom="0.48" header="0.37" footer="0.22"/>
  <pageSetup scale="99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42"/>
  <sheetViews>
    <sheetView zoomScaleNormal="100" workbookViewId="0">
      <selection activeCell="B10" sqref="B10"/>
    </sheetView>
  </sheetViews>
  <sheetFormatPr defaultColWidth="9.109375" defaultRowHeight="15" x14ac:dyDescent="0.25"/>
  <cols>
    <col min="1" max="1" width="49.44140625" style="2" bestFit="1" customWidth="1"/>
    <col min="2" max="4" width="19.109375" style="2" customWidth="1"/>
    <col min="5" max="5" width="5.88671875" style="2" customWidth="1"/>
    <col min="6" max="7" width="9.109375" style="2"/>
    <col min="8" max="8" width="15.6640625" style="2" customWidth="1"/>
    <col min="9" max="9" width="3.5546875" style="2" customWidth="1"/>
    <col min="10" max="10" width="15.109375" style="2" bestFit="1" customWidth="1"/>
    <col min="11" max="16384" width="9.109375" style="2"/>
  </cols>
  <sheetData>
    <row r="1" spans="1:10" ht="15.6" x14ac:dyDescent="0.3">
      <c r="A1" s="96" t="s">
        <v>0</v>
      </c>
      <c r="B1" s="96"/>
      <c r="C1" s="96"/>
      <c r="D1" s="96"/>
      <c r="E1" s="1"/>
      <c r="F1" s="1"/>
    </row>
    <row r="2" spans="1:10" ht="15.6" x14ac:dyDescent="0.3">
      <c r="A2" s="96" t="s">
        <v>1</v>
      </c>
      <c r="B2" s="96"/>
      <c r="C2" s="96"/>
      <c r="D2" s="96"/>
      <c r="E2" s="1"/>
      <c r="F2" s="1"/>
    </row>
    <row r="3" spans="1:10" ht="15.6" x14ac:dyDescent="0.3">
      <c r="A3" s="96" t="s">
        <v>114</v>
      </c>
      <c r="B3" s="96"/>
      <c r="C3" s="96"/>
      <c r="D3" s="96"/>
      <c r="E3" s="1"/>
      <c r="F3" s="1"/>
    </row>
    <row r="4" spans="1:10" ht="15.6" x14ac:dyDescent="0.3">
      <c r="A4" s="51"/>
      <c r="B4" s="51"/>
      <c r="C4" s="51"/>
      <c r="D4" s="51"/>
      <c r="E4" s="1"/>
      <c r="F4" s="1"/>
    </row>
    <row r="5" spans="1:10" ht="15.6" x14ac:dyDescent="0.3">
      <c r="A5" s="51"/>
      <c r="B5" s="51"/>
      <c r="C5" s="51"/>
      <c r="D5" s="51"/>
      <c r="E5" s="1"/>
      <c r="F5" s="1"/>
    </row>
    <row r="6" spans="1:10" x14ac:dyDescent="0.25">
      <c r="A6" s="1"/>
      <c r="B6" s="1"/>
      <c r="C6" s="1"/>
      <c r="D6" s="4"/>
      <c r="E6" s="1"/>
      <c r="F6" s="1"/>
    </row>
    <row r="7" spans="1:10" x14ac:dyDescent="0.25">
      <c r="A7" s="1"/>
      <c r="B7" s="1"/>
      <c r="C7" s="1"/>
      <c r="D7" s="1"/>
      <c r="E7" s="1"/>
      <c r="F7" s="1"/>
      <c r="G7" s="5"/>
      <c r="H7" s="5"/>
      <c r="I7" s="5"/>
      <c r="J7" s="5"/>
    </row>
    <row r="8" spans="1:10" ht="15.6" x14ac:dyDescent="0.3">
      <c r="A8" s="6"/>
      <c r="B8" s="7"/>
      <c r="C8" s="7"/>
      <c r="D8" s="8"/>
      <c r="E8" s="1"/>
      <c r="F8" s="1"/>
      <c r="G8" s="5"/>
      <c r="H8" s="9"/>
      <c r="I8" s="5"/>
      <c r="J8" s="9"/>
    </row>
    <row r="9" spans="1:10" ht="15.6" x14ac:dyDescent="0.3">
      <c r="A9" s="6" t="s">
        <v>3</v>
      </c>
      <c r="B9" s="7">
        <v>250960.9</v>
      </c>
      <c r="C9" s="7"/>
      <c r="D9" s="8"/>
      <c r="E9" s="1"/>
      <c r="F9" s="1"/>
      <c r="G9" s="5"/>
      <c r="H9" s="9"/>
      <c r="I9" s="5"/>
      <c r="J9" s="9"/>
    </row>
    <row r="10" spans="1:10" ht="15.6" x14ac:dyDescent="0.3">
      <c r="A10" s="6" t="s">
        <v>110</v>
      </c>
      <c r="B10" s="10">
        <f>211446.28-24779.88+78.5-111574.11-91733.52+58333.33-161400.29-115889.95+5967.94-32783.42-21270.42-422010.42</f>
        <v>-705615.96</v>
      </c>
      <c r="C10" s="10"/>
      <c r="D10" s="8"/>
      <c r="E10" s="1"/>
      <c r="F10" s="1"/>
      <c r="G10" s="5"/>
      <c r="H10" s="9"/>
      <c r="I10" s="5"/>
      <c r="J10" s="9"/>
    </row>
    <row r="11" spans="1:10" ht="15.6" x14ac:dyDescent="0.3">
      <c r="A11" s="6" t="s">
        <v>5</v>
      </c>
      <c r="B11" s="10">
        <v>0</v>
      </c>
      <c r="C11" s="11"/>
      <c r="D11" s="8"/>
      <c r="E11" s="1"/>
      <c r="F11" s="1"/>
      <c r="H11" s="12"/>
    </row>
    <row r="12" spans="1:10" ht="15.6" x14ac:dyDescent="0.3">
      <c r="A12" s="6" t="s">
        <v>6</v>
      </c>
      <c r="B12" s="10">
        <v>730.05</v>
      </c>
      <c r="C12" s="11"/>
      <c r="D12" s="8"/>
      <c r="E12" s="1"/>
      <c r="F12" s="1"/>
      <c r="H12" s="12"/>
    </row>
    <row r="13" spans="1:10" ht="15.6" x14ac:dyDescent="0.3">
      <c r="A13" s="6" t="s">
        <v>7</v>
      </c>
      <c r="B13" s="10">
        <v>11.82</v>
      </c>
      <c r="C13" s="11"/>
      <c r="D13" s="8"/>
      <c r="E13" s="1"/>
      <c r="F13" s="1"/>
      <c r="H13" s="12"/>
    </row>
    <row r="14" spans="1:10" ht="15.6" x14ac:dyDescent="0.3">
      <c r="A14" s="6" t="s">
        <v>8</v>
      </c>
      <c r="B14" s="10">
        <v>27.43</v>
      </c>
      <c r="C14" s="11"/>
      <c r="D14" s="8"/>
      <c r="E14" s="1"/>
      <c r="F14" s="1"/>
      <c r="H14" s="12"/>
    </row>
    <row r="15" spans="1:10" ht="15.6" x14ac:dyDescent="0.3">
      <c r="A15" s="6" t="s">
        <v>55</v>
      </c>
      <c r="B15" s="13">
        <v>4015.15</v>
      </c>
      <c r="C15" s="14"/>
      <c r="D15" s="8"/>
      <c r="E15" s="1"/>
      <c r="F15" s="1"/>
      <c r="H15" s="12"/>
    </row>
    <row r="16" spans="1:10" ht="15.6" x14ac:dyDescent="0.3">
      <c r="A16" s="15" t="s">
        <v>9</v>
      </c>
      <c r="B16" s="7"/>
      <c r="C16" s="7">
        <f>SUM(B8:B15)</f>
        <v>-449870.60999999993</v>
      </c>
      <c r="D16" s="8"/>
      <c r="E16" s="1"/>
      <c r="F16" s="1"/>
      <c r="G16" s="5"/>
      <c r="H16" s="16"/>
      <c r="I16" s="17"/>
      <c r="J16" s="16"/>
    </row>
    <row r="17" spans="1:8" x14ac:dyDescent="0.25">
      <c r="A17" s="1"/>
      <c r="B17" s="7"/>
      <c r="C17" s="7"/>
      <c r="D17" s="8"/>
      <c r="E17" s="1"/>
      <c r="F17" s="1"/>
    </row>
    <row r="18" spans="1:8" ht="15.6" x14ac:dyDescent="0.3">
      <c r="A18" s="6" t="s">
        <v>10</v>
      </c>
      <c r="B18" s="18">
        <v>1104720.76</v>
      </c>
      <c r="C18" s="7"/>
      <c r="D18" s="8"/>
      <c r="E18" s="1"/>
      <c r="F18" s="1"/>
      <c r="H18" s="12"/>
    </row>
    <row r="19" spans="1:8" ht="15.6" x14ac:dyDescent="0.3">
      <c r="A19" s="6" t="s">
        <v>11</v>
      </c>
      <c r="B19" s="7">
        <f>-+B10+853726.06</f>
        <v>1559342.02</v>
      </c>
      <c r="C19" s="10"/>
      <c r="D19" s="8"/>
      <c r="E19" s="1"/>
      <c r="F19" s="1"/>
      <c r="H19" s="12"/>
    </row>
    <row r="20" spans="1:8" ht="15.6" x14ac:dyDescent="0.3">
      <c r="A20" s="6" t="s">
        <v>12</v>
      </c>
      <c r="B20" s="7">
        <v>1157133.05</v>
      </c>
      <c r="C20" s="11"/>
      <c r="D20" s="8"/>
      <c r="E20" s="1"/>
      <c r="F20" s="1"/>
      <c r="H20" s="12"/>
    </row>
    <row r="21" spans="1:8" ht="15.6" x14ac:dyDescent="0.3">
      <c r="A21" s="6" t="s">
        <v>13</v>
      </c>
      <c r="B21" s="19">
        <f>2800+1665+52067.45</f>
        <v>56532.45</v>
      </c>
      <c r="C21" s="13"/>
      <c r="D21" s="8"/>
      <c r="E21" s="1"/>
      <c r="F21" s="1"/>
      <c r="H21" s="12"/>
    </row>
    <row r="22" spans="1:8" ht="15.6" x14ac:dyDescent="0.3">
      <c r="A22" s="6" t="s">
        <v>14</v>
      </c>
      <c r="B22" s="10"/>
      <c r="C22" s="10">
        <f>SUM(B18:B21)</f>
        <v>3877728.2800000003</v>
      </c>
      <c r="D22" s="8"/>
      <c r="E22" s="1"/>
      <c r="F22" s="1"/>
      <c r="H22" s="12"/>
    </row>
    <row r="23" spans="1:8" ht="6" customHeight="1" x14ac:dyDescent="0.3">
      <c r="A23" s="6"/>
      <c r="B23" s="10"/>
      <c r="C23" s="10"/>
      <c r="D23" s="8"/>
      <c r="E23" s="1"/>
      <c r="F23" s="1"/>
      <c r="H23" s="12"/>
    </row>
    <row r="24" spans="1:8" ht="15.6" x14ac:dyDescent="0.3">
      <c r="A24" s="6" t="s">
        <v>15</v>
      </c>
      <c r="B24" s="7"/>
      <c r="C24" s="20">
        <f>C16+C22</f>
        <v>3427857.6700000004</v>
      </c>
      <c r="D24" s="8"/>
      <c r="E24" s="1"/>
      <c r="F24" s="1"/>
      <c r="H24" s="12"/>
    </row>
    <row r="25" spans="1:8" ht="6" customHeight="1" x14ac:dyDescent="0.25">
      <c r="A25" s="1"/>
      <c r="B25" s="7"/>
      <c r="C25" s="7"/>
      <c r="D25" s="8"/>
      <c r="E25" s="1"/>
      <c r="F25" s="1"/>
    </row>
    <row r="26" spans="1:8" ht="15.6" x14ac:dyDescent="0.3">
      <c r="A26" s="6" t="s">
        <v>16</v>
      </c>
      <c r="B26" s="7"/>
      <c r="C26" s="10">
        <v>0</v>
      </c>
      <c r="D26" s="21"/>
      <c r="E26" s="1"/>
      <c r="F26" s="1"/>
      <c r="H26" s="22"/>
    </row>
    <row r="27" spans="1:8" ht="6" customHeight="1" x14ac:dyDescent="0.3">
      <c r="A27" s="6"/>
      <c r="B27" s="10"/>
      <c r="C27" s="10"/>
      <c r="D27" s="21"/>
      <c r="E27" s="1"/>
      <c r="F27" s="1"/>
      <c r="H27" s="22"/>
    </row>
    <row r="28" spans="1:8" ht="16.2" thickBot="1" x14ac:dyDescent="0.35">
      <c r="A28" s="6" t="s">
        <v>17</v>
      </c>
      <c r="B28" s="7"/>
      <c r="C28" s="23">
        <f>C16+B30</f>
        <v>3427857.6700000004</v>
      </c>
      <c r="E28" s="1"/>
      <c r="F28" s="1"/>
      <c r="H28" s="22"/>
    </row>
    <row r="29" spans="1:8" ht="15.6" thickTop="1" x14ac:dyDescent="0.25">
      <c r="A29" s="1"/>
      <c r="B29" s="1"/>
      <c r="C29" s="1"/>
      <c r="D29" s="1"/>
      <c r="E29" s="1"/>
      <c r="F29" s="1"/>
    </row>
    <row r="30" spans="1:8" ht="16.2" thickBot="1" x14ac:dyDescent="0.35">
      <c r="A30" s="24" t="s">
        <v>18</v>
      </c>
      <c r="B30" s="25">
        <f>C22+C26</f>
        <v>3877728.2800000003</v>
      </c>
      <c r="C30" s="26"/>
      <c r="D30" s="27"/>
      <c r="E30" s="26"/>
      <c r="F30" s="26"/>
    </row>
    <row r="31" spans="1:8" ht="16.2" thickTop="1" x14ac:dyDescent="0.3">
      <c r="A31" s="24"/>
      <c r="B31" s="10"/>
      <c r="C31" s="26"/>
      <c r="D31" s="27"/>
      <c r="E31" s="26"/>
      <c r="F31" s="26"/>
    </row>
    <row r="32" spans="1:8" ht="5.25" customHeight="1" x14ac:dyDescent="0.3">
      <c r="A32" s="24"/>
      <c r="B32" s="10"/>
      <c r="C32" s="26"/>
      <c r="D32" s="27"/>
      <c r="E32" s="26"/>
      <c r="F32" s="26"/>
    </row>
    <row r="33" spans="1:6" ht="15.6" x14ac:dyDescent="0.3">
      <c r="A33" s="28" t="s">
        <v>117</v>
      </c>
      <c r="B33" s="1"/>
      <c r="C33" s="1"/>
      <c r="D33" s="1"/>
      <c r="E33" s="1"/>
      <c r="F33" s="1"/>
    </row>
    <row r="34" spans="1:6" ht="15.6" x14ac:dyDescent="0.3">
      <c r="A34" s="29" t="s">
        <v>115</v>
      </c>
      <c r="B34" s="1"/>
      <c r="C34" s="1"/>
      <c r="D34" s="1"/>
      <c r="E34" s="1"/>
      <c r="F34" s="1"/>
    </row>
    <row r="35" spans="1:6" ht="15.6" x14ac:dyDescent="0.3">
      <c r="A35" s="6" t="s">
        <v>116</v>
      </c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ht="15.6" x14ac:dyDescent="0.3">
      <c r="A37" s="6" t="s">
        <v>22</v>
      </c>
      <c r="B37" s="1"/>
      <c r="C37" s="1"/>
      <c r="D37" s="1"/>
      <c r="E37" s="1"/>
      <c r="F37" s="1"/>
    </row>
    <row r="38" spans="1:6" ht="15.6" hidden="1" x14ac:dyDescent="0.3">
      <c r="A38" s="6" t="s">
        <v>25</v>
      </c>
      <c r="B38" s="7"/>
      <c r="C38" s="10"/>
      <c r="D38" s="1"/>
      <c r="E38" s="1"/>
      <c r="F38" s="1"/>
    </row>
    <row r="39" spans="1:6" ht="15.6" x14ac:dyDescent="0.3">
      <c r="A39" s="6" t="s">
        <v>26</v>
      </c>
      <c r="B39" s="7">
        <f>113322.3-107175.75</f>
        <v>6146.5500000000029</v>
      </c>
      <c r="C39" s="10"/>
      <c r="D39" s="1"/>
      <c r="E39" s="1"/>
      <c r="F39" s="1"/>
    </row>
    <row r="40" spans="1:6" ht="15.6" thickBot="1" x14ac:dyDescent="0.3">
      <c r="A40" s="1"/>
      <c r="B40" s="30">
        <f>SUM(B38:B39)</f>
        <v>6146.5500000000029</v>
      </c>
      <c r="C40" s="31"/>
      <c r="D40" s="1"/>
      <c r="E40" s="1"/>
      <c r="F40" s="1"/>
    </row>
    <row r="41" spans="1:6" ht="15.6" thickTop="1" x14ac:dyDescent="0.25">
      <c r="A41" s="1"/>
      <c r="B41" s="1"/>
      <c r="C41" s="32"/>
      <c r="D41" s="1"/>
      <c r="E41" s="1"/>
      <c r="F41" s="1"/>
    </row>
    <row r="42" spans="1:6" ht="15.6" x14ac:dyDescent="0.3">
      <c r="A42" s="52" t="s">
        <v>111</v>
      </c>
    </row>
  </sheetData>
  <mergeCells count="3">
    <mergeCell ref="A1:D1"/>
    <mergeCell ref="A2:D2"/>
    <mergeCell ref="A3:D3"/>
  </mergeCells>
  <pageMargins left="0.45" right="0.2" top="0.75" bottom="0.75" header="0.3" footer="0.3"/>
  <pageSetup scale="8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5"/>
  <sheetViews>
    <sheetView workbookViewId="0">
      <selection activeCell="C23" sqref="C23"/>
    </sheetView>
  </sheetViews>
  <sheetFormatPr defaultRowHeight="14.4" x14ac:dyDescent="0.3"/>
  <cols>
    <col min="1" max="1" width="26.33203125" customWidth="1"/>
    <col min="2" max="2" width="14.6640625" bestFit="1" customWidth="1"/>
    <col min="6" max="6" width="13.33203125" customWidth="1"/>
  </cols>
  <sheetData>
    <row r="1" spans="1:4" x14ac:dyDescent="0.3">
      <c r="A1" s="33" t="s">
        <v>112</v>
      </c>
    </row>
    <row r="2" spans="1:4" x14ac:dyDescent="0.3">
      <c r="A2" t="s">
        <v>29</v>
      </c>
      <c r="B2" s="34">
        <v>3753140.89</v>
      </c>
    </row>
    <row r="3" spans="1:4" x14ac:dyDescent="0.3">
      <c r="A3" t="s">
        <v>30</v>
      </c>
      <c r="B3" s="35">
        <v>0</v>
      </c>
    </row>
    <row r="4" spans="1:4" x14ac:dyDescent="0.3">
      <c r="A4" t="s">
        <v>31</v>
      </c>
      <c r="B4" s="34">
        <f>776055.27-66</f>
        <v>775989.27</v>
      </c>
    </row>
    <row r="5" spans="1:4" x14ac:dyDescent="0.3">
      <c r="A5" t="s">
        <v>32</v>
      </c>
      <c r="B5" s="34">
        <f>-712228.77+66</f>
        <v>-712162.77</v>
      </c>
      <c r="D5" s="35"/>
    </row>
    <row r="6" spans="1:4" x14ac:dyDescent="0.3">
      <c r="A6" t="s">
        <v>33</v>
      </c>
      <c r="B6" s="34">
        <v>129442.33</v>
      </c>
      <c r="C6" t="s">
        <v>113</v>
      </c>
    </row>
    <row r="7" spans="1:4" x14ac:dyDescent="0.3">
      <c r="A7" t="s">
        <v>35</v>
      </c>
      <c r="B7" s="34">
        <f>-526827.18+422010.42</f>
        <v>-104816.76000000007</v>
      </c>
    </row>
    <row r="8" spans="1:4" x14ac:dyDescent="0.3">
      <c r="A8" t="s">
        <v>91</v>
      </c>
      <c r="B8" s="34"/>
    </row>
    <row r="9" spans="1:4" x14ac:dyDescent="0.3">
      <c r="A9" t="s">
        <v>36</v>
      </c>
      <c r="B9" s="36">
        <v>340229.63</v>
      </c>
      <c r="C9" t="s">
        <v>37</v>
      </c>
    </row>
    <row r="10" spans="1:4" x14ac:dyDescent="0.3">
      <c r="A10" t="s">
        <v>38</v>
      </c>
      <c r="B10" s="34">
        <v>-304387.20000000001</v>
      </c>
    </row>
    <row r="11" spans="1:4" x14ac:dyDescent="0.3">
      <c r="A11" t="s">
        <v>39</v>
      </c>
      <c r="B11" s="34">
        <v>292.89</v>
      </c>
    </row>
    <row r="12" spans="1:4" x14ac:dyDescent="0.3">
      <c r="A12" t="s">
        <v>40</v>
      </c>
      <c r="B12" s="34">
        <v>0</v>
      </c>
      <c r="C12" t="s">
        <v>63</v>
      </c>
    </row>
    <row r="13" spans="1:4" x14ac:dyDescent="0.3">
      <c r="A13" t="s">
        <v>16</v>
      </c>
      <c r="B13" s="34">
        <v>0</v>
      </c>
    </row>
    <row r="14" spans="1:4" x14ac:dyDescent="0.3">
      <c r="A14" t="s">
        <v>42</v>
      </c>
      <c r="B14" s="34"/>
    </row>
    <row r="15" spans="1:4" x14ac:dyDescent="0.3">
      <c r="A15" t="s">
        <v>57</v>
      </c>
      <c r="B15" s="34"/>
    </row>
    <row r="16" spans="1:4" x14ac:dyDescent="0.3">
      <c r="A16" t="s">
        <v>43</v>
      </c>
      <c r="B16" s="37">
        <f>SUM(B2:B15)</f>
        <v>3877728.28</v>
      </c>
    </row>
    <row r="17" spans="1:3" x14ac:dyDescent="0.3">
      <c r="A17" t="s">
        <v>44</v>
      </c>
      <c r="B17" s="34">
        <v>-3877728.28</v>
      </c>
    </row>
    <row r="18" spans="1:3" ht="15" thickBot="1" x14ac:dyDescent="0.35">
      <c r="A18" t="s">
        <v>45</v>
      </c>
      <c r="B18" s="38">
        <f>SUM(B16:B17)</f>
        <v>0</v>
      </c>
    </row>
    <row r="19" spans="1:3" ht="15" thickTop="1" x14ac:dyDescent="0.3">
      <c r="B19" s="39"/>
    </row>
    <row r="20" spans="1:3" x14ac:dyDescent="0.3">
      <c r="A20" t="s">
        <v>29</v>
      </c>
      <c r="B20" s="35">
        <v>-11433.19</v>
      </c>
    </row>
    <row r="21" spans="1:3" x14ac:dyDescent="0.3">
      <c r="A21" t="s">
        <v>56</v>
      </c>
      <c r="B21" s="34">
        <v>0.01</v>
      </c>
    </row>
    <row r="22" spans="1:3" x14ac:dyDescent="0.3">
      <c r="A22" t="s">
        <v>72</v>
      </c>
      <c r="B22" s="34"/>
    </row>
    <row r="23" spans="1:3" x14ac:dyDescent="0.3">
      <c r="A23" t="s">
        <v>46</v>
      </c>
      <c r="B23" s="34">
        <v>-422010.42</v>
      </c>
      <c r="C23" t="s">
        <v>47</v>
      </c>
    </row>
    <row r="24" spans="1:3" x14ac:dyDescent="0.3">
      <c r="A24" t="s">
        <v>33</v>
      </c>
      <c r="B24" s="34"/>
    </row>
    <row r="25" spans="1:3" x14ac:dyDescent="0.3">
      <c r="A25" t="s">
        <v>39</v>
      </c>
      <c r="B25" s="34"/>
    </row>
    <row r="26" spans="1:3" x14ac:dyDescent="0.3">
      <c r="A26" t="s">
        <v>40</v>
      </c>
      <c r="B26" s="34"/>
    </row>
    <row r="27" spans="1:3" x14ac:dyDescent="0.3">
      <c r="A27" t="s">
        <v>48</v>
      </c>
      <c r="B27" s="34">
        <v>113015.32</v>
      </c>
    </row>
    <row r="28" spans="1:3" x14ac:dyDescent="0.3">
      <c r="A28" t="s">
        <v>42</v>
      </c>
      <c r="B28" s="34">
        <v>-129442.33</v>
      </c>
    </row>
    <row r="29" spans="1:3" x14ac:dyDescent="0.3">
      <c r="A29" t="s">
        <v>49</v>
      </c>
      <c r="B29" s="34"/>
    </row>
    <row r="30" spans="1:3" x14ac:dyDescent="0.3">
      <c r="A30" t="s">
        <v>50</v>
      </c>
      <c r="B30" s="34"/>
    </row>
    <row r="31" spans="1:3" x14ac:dyDescent="0.3">
      <c r="A31" t="s">
        <v>57</v>
      </c>
      <c r="B31" s="34"/>
    </row>
    <row r="32" spans="1:3" x14ac:dyDescent="0.3">
      <c r="A32" t="s">
        <v>51</v>
      </c>
      <c r="B32" s="40">
        <f>SUM(B20:B31)</f>
        <v>-449870.61</v>
      </c>
    </row>
    <row r="33" spans="1:2" x14ac:dyDescent="0.3">
      <c r="A33" t="s">
        <v>52</v>
      </c>
      <c r="B33" s="35">
        <v>449870.61</v>
      </c>
    </row>
    <row r="34" spans="1:2" ht="15" thickBot="1" x14ac:dyDescent="0.35">
      <c r="A34" t="s">
        <v>45</v>
      </c>
      <c r="B34" s="41">
        <f>SUM(B32:B33)</f>
        <v>0</v>
      </c>
    </row>
    <row r="35" spans="1:2" ht="15" thickTop="1" x14ac:dyDescent="0.3"/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transitionEntry="1">
    <pageSetUpPr fitToPage="1"/>
  </sheetPr>
  <dimension ref="A1:H38"/>
  <sheetViews>
    <sheetView workbookViewId="0">
      <selection activeCell="A5" sqref="A5"/>
    </sheetView>
  </sheetViews>
  <sheetFormatPr defaultColWidth="9.109375" defaultRowHeight="13.2" x14ac:dyDescent="0.25"/>
  <cols>
    <col min="1" max="1" width="13.5546875" style="66" customWidth="1"/>
    <col min="2" max="2" width="14" style="66" bestFit="1" customWidth="1"/>
    <col min="3" max="3" width="2" style="66" customWidth="1"/>
    <col min="4" max="4" width="10.109375" style="66" customWidth="1"/>
    <col min="5" max="5" width="13.33203125" style="66" bestFit="1" customWidth="1"/>
    <col min="6" max="6" width="15.5546875" style="66" customWidth="1"/>
    <col min="7" max="7" width="14.6640625" style="66" customWidth="1"/>
    <col min="8" max="8" width="14.5546875" style="66" bestFit="1" customWidth="1"/>
    <col min="9" max="9" width="18.44140625" style="66" customWidth="1"/>
    <col min="10" max="16384" width="9.109375" style="66"/>
  </cols>
  <sheetData>
    <row r="1" spans="1:8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8" x14ac:dyDescent="0.25">
      <c r="A2" s="97" t="s">
        <v>172</v>
      </c>
      <c r="B2" s="97"/>
      <c r="C2" s="97"/>
      <c r="D2" s="97"/>
      <c r="E2" s="97"/>
      <c r="F2" s="97"/>
      <c r="G2" s="97"/>
      <c r="H2" s="97"/>
    </row>
    <row r="3" spans="1:8" x14ac:dyDescent="0.25">
      <c r="A3" s="97" t="s">
        <v>173</v>
      </c>
      <c r="B3" s="97"/>
      <c r="C3" s="97"/>
      <c r="D3" s="97"/>
      <c r="E3" s="97"/>
      <c r="F3" s="97"/>
      <c r="G3" s="97"/>
      <c r="H3" s="97"/>
    </row>
    <row r="4" spans="1:8" x14ac:dyDescent="0.25">
      <c r="A4" s="97" t="s">
        <v>209</v>
      </c>
      <c r="B4" s="97"/>
      <c r="C4" s="97"/>
      <c r="D4" s="97"/>
      <c r="E4" s="97"/>
      <c r="F4" s="97"/>
      <c r="G4" s="97"/>
      <c r="H4" s="97"/>
    </row>
    <row r="5" spans="1:8" x14ac:dyDescent="0.25">
      <c r="A5" s="67"/>
      <c r="B5" s="67"/>
      <c r="C5" s="67"/>
      <c r="D5" s="67"/>
      <c r="E5" s="67"/>
      <c r="F5" s="67"/>
      <c r="G5" s="67"/>
      <c r="H5" s="67"/>
    </row>
    <row r="6" spans="1:8" x14ac:dyDescent="0.25">
      <c r="A6" s="67"/>
      <c r="B6" s="67"/>
      <c r="C6" s="67"/>
      <c r="D6" s="67"/>
      <c r="E6" s="67"/>
      <c r="F6" s="67"/>
      <c r="G6" s="67"/>
      <c r="H6" s="67"/>
    </row>
    <row r="7" spans="1:8" x14ac:dyDescent="0.25">
      <c r="A7" s="67"/>
      <c r="B7" s="67"/>
      <c r="C7" s="67"/>
      <c r="D7" s="67"/>
      <c r="E7" s="67"/>
      <c r="F7" s="67"/>
      <c r="G7" s="67"/>
      <c r="H7" s="67"/>
    </row>
    <row r="8" spans="1:8" x14ac:dyDescent="0.25">
      <c r="A8" s="68" t="s">
        <v>174</v>
      </c>
      <c r="B8" s="67"/>
      <c r="C8" s="67"/>
      <c r="D8" s="67"/>
      <c r="E8" s="67"/>
      <c r="F8" s="67"/>
      <c r="G8" s="69">
        <v>1157133.05</v>
      </c>
      <c r="H8" s="67"/>
    </row>
    <row r="9" spans="1:8" x14ac:dyDescent="0.25">
      <c r="A9" s="67"/>
      <c r="B9" s="67"/>
      <c r="C9" s="67"/>
      <c r="D9" s="67"/>
      <c r="E9" s="67"/>
      <c r="F9" s="67"/>
      <c r="G9" s="67"/>
      <c r="H9" s="67"/>
    </row>
    <row r="10" spans="1:8" x14ac:dyDescent="0.25">
      <c r="A10" s="68" t="s">
        <v>175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/>
      <c r="B11" s="95"/>
      <c r="C11" s="67"/>
      <c r="D11" s="95"/>
      <c r="E11" s="67"/>
      <c r="F11" s="67"/>
      <c r="G11" s="71"/>
      <c r="H11" s="67"/>
    </row>
    <row r="12" spans="1:8" x14ac:dyDescent="0.25">
      <c r="A12" s="67"/>
      <c r="B12" s="67"/>
      <c r="C12" s="67"/>
      <c r="D12" s="67"/>
      <c r="E12" s="67"/>
      <c r="F12" s="67"/>
      <c r="G12" s="67"/>
      <c r="H12" s="67"/>
    </row>
    <row r="13" spans="1:8" x14ac:dyDescent="0.25">
      <c r="A13" s="67"/>
      <c r="B13" s="67"/>
      <c r="C13" s="67"/>
      <c r="D13" s="67"/>
      <c r="E13" s="67"/>
      <c r="F13" s="67"/>
      <c r="G13" s="67"/>
      <c r="H13" s="67"/>
    </row>
    <row r="14" spans="1:8" x14ac:dyDescent="0.25">
      <c r="A14" s="68" t="s">
        <v>176</v>
      </c>
      <c r="B14" s="67"/>
      <c r="C14" s="67"/>
      <c r="D14" s="67"/>
      <c r="E14" s="67"/>
      <c r="F14" s="67"/>
      <c r="G14" s="67"/>
      <c r="H14" s="67"/>
    </row>
    <row r="15" spans="1:8" x14ac:dyDescent="0.25">
      <c r="A15" s="70"/>
      <c r="B15" s="72"/>
      <c r="C15" s="67"/>
      <c r="D15" s="67"/>
      <c r="E15" s="69"/>
      <c r="F15" s="67"/>
      <c r="G15" s="67"/>
      <c r="H15" s="67"/>
    </row>
    <row r="16" spans="1:8" x14ac:dyDescent="0.25">
      <c r="A16" s="67"/>
      <c r="B16" s="72"/>
      <c r="C16" s="67"/>
      <c r="D16" s="67"/>
      <c r="E16" s="69"/>
      <c r="F16" s="67"/>
      <c r="G16" s="67"/>
      <c r="H16" s="67"/>
    </row>
    <row r="17" spans="1:8" x14ac:dyDescent="0.25">
      <c r="A17" s="73"/>
      <c r="B17" s="72"/>
      <c r="C17" s="73"/>
      <c r="D17" s="73"/>
      <c r="E17" s="69"/>
      <c r="F17" s="73"/>
      <c r="G17" s="73"/>
      <c r="H17" s="73"/>
    </row>
    <row r="18" spans="1:8" x14ac:dyDescent="0.25">
      <c r="A18" s="91"/>
      <c r="B18" s="72"/>
      <c r="C18" s="73"/>
      <c r="D18" s="73"/>
      <c r="E18" s="69"/>
      <c r="F18" s="73"/>
      <c r="G18" s="74"/>
      <c r="H18" s="73"/>
    </row>
    <row r="19" spans="1:8" x14ac:dyDescent="0.25">
      <c r="A19" s="73"/>
      <c r="B19" s="72"/>
      <c r="C19" s="73"/>
      <c r="D19" s="73"/>
      <c r="E19" s="73"/>
      <c r="F19" s="73"/>
      <c r="G19" s="73"/>
      <c r="H19" s="73"/>
    </row>
    <row r="20" spans="1:8" ht="13.8" thickBot="1" x14ac:dyDescent="0.3">
      <c r="A20" s="75" t="s">
        <v>177</v>
      </c>
      <c r="B20" s="72"/>
      <c r="C20" s="73"/>
      <c r="D20" s="73"/>
      <c r="E20" s="73"/>
      <c r="F20" s="73"/>
      <c r="G20" s="76">
        <f>SUM(G8:G19)</f>
        <v>1157133.05</v>
      </c>
      <c r="H20" s="73"/>
    </row>
    <row r="21" spans="1:8" ht="13.8" thickTop="1" x14ac:dyDescent="0.25">
      <c r="A21" s="73"/>
      <c r="B21" s="69"/>
      <c r="C21" s="73"/>
      <c r="D21" s="73"/>
      <c r="E21" s="73"/>
      <c r="F21" s="73"/>
      <c r="G21" s="73"/>
      <c r="H21" s="73"/>
    </row>
    <row r="22" spans="1:8" x14ac:dyDescent="0.25">
      <c r="A22" s="75" t="s">
        <v>178</v>
      </c>
      <c r="B22" s="69"/>
      <c r="C22" s="73"/>
      <c r="D22" s="73"/>
      <c r="E22" s="73"/>
      <c r="F22" s="73"/>
      <c r="G22" s="69">
        <v>1157133.05</v>
      </c>
      <c r="H22" s="73"/>
    </row>
    <row r="23" spans="1:8" x14ac:dyDescent="0.25">
      <c r="A23" s="75" t="s">
        <v>179</v>
      </c>
      <c r="B23" s="73"/>
      <c r="C23" s="73"/>
      <c r="D23" s="73"/>
      <c r="E23" s="73"/>
      <c r="F23" s="73"/>
      <c r="G23" s="69"/>
      <c r="H23" s="73"/>
    </row>
    <row r="24" spans="1:8" x14ac:dyDescent="0.25">
      <c r="A24" s="73"/>
      <c r="B24" s="73"/>
      <c r="C24" s="73"/>
      <c r="D24" s="73"/>
      <c r="E24" s="73"/>
      <c r="F24" s="73"/>
      <c r="G24" s="73"/>
      <c r="H24" s="73"/>
    </row>
    <row r="25" spans="1:8" x14ac:dyDescent="0.25">
      <c r="A25" s="73"/>
      <c r="B25" s="73"/>
      <c r="C25" s="73"/>
      <c r="D25" s="73"/>
      <c r="E25" s="73"/>
      <c r="F25" s="73"/>
      <c r="G25" s="73"/>
      <c r="H25" s="73"/>
    </row>
    <row r="26" spans="1:8" ht="13.8" thickBot="1" x14ac:dyDescent="0.3">
      <c r="A26" s="75" t="s">
        <v>180</v>
      </c>
      <c r="B26" s="73"/>
      <c r="C26" s="73"/>
      <c r="D26" s="73"/>
      <c r="E26" s="73"/>
      <c r="F26" s="73"/>
      <c r="G26" s="77">
        <f>SUM(G22:G25)</f>
        <v>1157133.05</v>
      </c>
      <c r="H26" s="73"/>
    </row>
    <row r="27" spans="1:8" ht="15" thickTop="1" x14ac:dyDescent="0.3">
      <c r="A27" s="73"/>
      <c r="B27" s="73"/>
      <c r="C27" s="73"/>
      <c r="D27" s="73"/>
      <c r="E27" s="73"/>
      <c r="F27" s="73"/>
      <c r="G27" s="78"/>
      <c r="H27" s="73"/>
    </row>
    <row r="28" spans="1:8" x14ac:dyDescent="0.25">
      <c r="A28" s="75" t="s">
        <v>181</v>
      </c>
      <c r="B28" s="73"/>
      <c r="C28" s="73"/>
      <c r="D28" s="73"/>
      <c r="E28" s="73"/>
      <c r="F28" s="73"/>
      <c r="G28" s="79">
        <f>G20-G26</f>
        <v>0</v>
      </c>
      <c r="H28" s="73"/>
    </row>
    <row r="29" spans="1:8" x14ac:dyDescent="0.25">
      <c r="A29" s="73"/>
      <c r="B29" s="73"/>
      <c r="C29" s="73"/>
      <c r="D29" s="73"/>
      <c r="E29" s="73"/>
      <c r="F29" s="73"/>
      <c r="G29" s="73"/>
      <c r="H29" s="73"/>
    </row>
    <row r="30" spans="1:8" ht="11.25" customHeight="1" x14ac:dyDescent="0.25">
      <c r="A30" s="73"/>
      <c r="B30" s="73"/>
      <c r="C30" s="73"/>
      <c r="D30" s="73"/>
      <c r="E30" s="73"/>
      <c r="F30" s="73"/>
      <c r="G30" s="73"/>
      <c r="H30" s="73"/>
    </row>
    <row r="31" spans="1:8" x14ac:dyDescent="0.25">
      <c r="A31" s="80" t="s">
        <v>182</v>
      </c>
      <c r="B31" s="80"/>
      <c r="C31" s="80"/>
      <c r="D31" s="92"/>
      <c r="E31" s="80"/>
      <c r="F31" s="80"/>
      <c r="G31" s="80"/>
      <c r="H31" s="80"/>
    </row>
    <row r="32" spans="1:8" ht="14.4" x14ac:dyDescent="0.3">
      <c r="A32" s="80" t="s">
        <v>183</v>
      </c>
      <c r="B32" s="94">
        <f>1014869.83+290.6+313.54+284.82+266.51+283.15+266.5+275.65+302.94+257.74</f>
        <v>1017411.2799999999</v>
      </c>
      <c r="C32" s="80"/>
      <c r="D32" s="82">
        <f>B32/B34</f>
        <v>0.87925176797949045</v>
      </c>
      <c r="E32" s="69">
        <f>D32*0</f>
        <v>0</v>
      </c>
      <c r="F32" s="80"/>
      <c r="G32" s="80"/>
      <c r="H32" s="80"/>
    </row>
    <row r="33" spans="1:8" ht="14.4" x14ac:dyDescent="0.3">
      <c r="A33" s="80" t="s">
        <v>145</v>
      </c>
      <c r="B33" s="94">
        <f>564104.69+161.52-78.5-225000+104.76+94.94+88.84+94.61-200000+36.6+37.85+41.31+35.15</f>
        <v>139721.76999999999</v>
      </c>
      <c r="C33" s="80" t="s">
        <v>184</v>
      </c>
      <c r="D33" s="82">
        <f>B33/B34</f>
        <v>0.12074823202050966</v>
      </c>
      <c r="E33" s="69">
        <f>-E32+0</f>
        <v>0</v>
      </c>
      <c r="F33" s="83" t="s">
        <v>198</v>
      </c>
      <c r="G33" s="84">
        <f>E33*1</f>
        <v>0</v>
      </c>
      <c r="H33" s="80"/>
    </row>
    <row r="34" spans="1:8" ht="15" thickBot="1" x14ac:dyDescent="0.35">
      <c r="A34" s="80"/>
      <c r="B34" s="93">
        <f>SUM(B32:B33)</f>
        <v>1157133.0499999998</v>
      </c>
      <c r="C34" s="80"/>
      <c r="D34" s="86">
        <f>SUM(D32:D33)</f>
        <v>1</v>
      </c>
      <c r="E34" s="87"/>
      <c r="F34" s="83" t="s">
        <v>199</v>
      </c>
      <c r="G34" s="84">
        <f>E33*0</f>
        <v>0</v>
      </c>
      <c r="H34" s="80"/>
    </row>
    <row r="35" spans="1:8" ht="13.8" thickTop="1" x14ac:dyDescent="0.25">
      <c r="A35" s="80"/>
      <c r="B35" s="80"/>
      <c r="C35" s="80"/>
      <c r="D35" s="80"/>
      <c r="E35" s="80"/>
      <c r="F35" s="88"/>
      <c r="G35" s="80"/>
      <c r="H35" s="80"/>
    </row>
    <row r="36" spans="1:8" x14ac:dyDescent="0.25">
      <c r="A36" s="83" t="s">
        <v>187</v>
      </c>
      <c r="B36" s="80"/>
      <c r="C36" s="80"/>
      <c r="D36" s="80"/>
      <c r="E36" s="80"/>
      <c r="F36" s="80"/>
      <c r="G36" s="80"/>
      <c r="H36" s="80"/>
    </row>
    <row r="38" spans="1:8" ht="14.4" x14ac:dyDescent="0.3">
      <c r="A38" s="89">
        <v>0</v>
      </c>
      <c r="B38" s="90">
        <f>A38/B33</f>
        <v>0</v>
      </c>
    </row>
  </sheetData>
  <mergeCells count="4">
    <mergeCell ref="A1:H1"/>
    <mergeCell ref="A2:H2"/>
    <mergeCell ref="A3:H3"/>
    <mergeCell ref="A4:H4"/>
  </mergeCells>
  <pageMargins left="0.54" right="0.45" top="0.52" bottom="0.48" header="0.37" footer="0.22"/>
  <pageSetup scale="99" fitToHeight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43"/>
  <sheetViews>
    <sheetView zoomScaleNormal="100" workbookViewId="0">
      <selection activeCell="B10" sqref="B10"/>
    </sheetView>
  </sheetViews>
  <sheetFormatPr defaultColWidth="9.109375" defaultRowHeight="15" x14ac:dyDescent="0.25"/>
  <cols>
    <col min="1" max="1" width="49.44140625" style="2" bestFit="1" customWidth="1"/>
    <col min="2" max="4" width="19.109375" style="2" customWidth="1"/>
    <col min="5" max="5" width="5.88671875" style="2" customWidth="1"/>
    <col min="6" max="7" width="9.109375" style="2"/>
    <col min="8" max="8" width="15.6640625" style="2" customWidth="1"/>
    <col min="9" max="9" width="3.5546875" style="2" customWidth="1"/>
    <col min="10" max="10" width="15.109375" style="2" bestFit="1" customWidth="1"/>
    <col min="11" max="16384" width="9.109375" style="2"/>
  </cols>
  <sheetData>
    <row r="1" spans="1:10" ht="15.6" x14ac:dyDescent="0.3">
      <c r="A1" s="96" t="s">
        <v>0</v>
      </c>
      <c r="B1" s="96"/>
      <c r="C1" s="96"/>
      <c r="D1" s="96"/>
      <c r="E1" s="1"/>
      <c r="F1" s="1"/>
    </row>
    <row r="2" spans="1:10" ht="15.6" x14ac:dyDescent="0.3">
      <c r="A2" s="96" t="s">
        <v>1</v>
      </c>
      <c r="B2" s="96"/>
      <c r="C2" s="96"/>
      <c r="D2" s="96"/>
      <c r="E2" s="1"/>
      <c r="F2" s="1"/>
    </row>
    <row r="3" spans="1:10" ht="15.6" x14ac:dyDescent="0.3">
      <c r="A3" s="96" t="s">
        <v>107</v>
      </c>
      <c r="B3" s="96"/>
      <c r="C3" s="96"/>
      <c r="D3" s="96"/>
      <c r="E3" s="1"/>
      <c r="F3" s="1"/>
    </row>
    <row r="4" spans="1:10" ht="15.6" x14ac:dyDescent="0.3">
      <c r="A4" s="50"/>
      <c r="B4" s="50"/>
      <c r="C4" s="50"/>
      <c r="D4" s="50"/>
      <c r="E4" s="1"/>
      <c r="F4" s="1"/>
    </row>
    <row r="5" spans="1:10" ht="15.6" x14ac:dyDescent="0.3">
      <c r="A5" s="50"/>
      <c r="B5" s="50"/>
      <c r="C5" s="50"/>
      <c r="D5" s="50"/>
      <c r="E5" s="1"/>
      <c r="F5" s="1"/>
    </row>
    <row r="6" spans="1:10" x14ac:dyDescent="0.25">
      <c r="A6" s="1"/>
      <c r="B6" s="1"/>
      <c r="C6" s="1"/>
      <c r="D6" s="4"/>
      <c r="E6" s="1"/>
      <c r="F6" s="1"/>
    </row>
    <row r="7" spans="1:10" x14ac:dyDescent="0.25">
      <c r="A7" s="1"/>
      <c r="B7" s="1"/>
      <c r="C7" s="1"/>
      <c r="D7" s="1"/>
      <c r="E7" s="1"/>
      <c r="F7" s="1"/>
      <c r="G7" s="5"/>
      <c r="H7" s="5"/>
      <c r="I7" s="5"/>
      <c r="J7" s="5"/>
    </row>
    <row r="8" spans="1:10" ht="15.6" x14ac:dyDescent="0.3">
      <c r="A8" s="6"/>
      <c r="B8" s="7"/>
      <c r="C8" s="7"/>
      <c r="D8" s="8"/>
      <c r="E8" s="1"/>
      <c r="F8" s="1"/>
      <c r="G8" s="5"/>
      <c r="H8" s="9"/>
      <c r="I8" s="5"/>
      <c r="J8" s="9"/>
    </row>
    <row r="9" spans="1:10" ht="15.6" x14ac:dyDescent="0.3">
      <c r="A9" s="6" t="s">
        <v>3</v>
      </c>
      <c r="B9" s="7">
        <v>267387.90999999997</v>
      </c>
      <c r="C9" s="7"/>
      <c r="D9" s="8"/>
      <c r="E9" s="1"/>
      <c r="F9" s="1"/>
      <c r="G9" s="5"/>
      <c r="H9" s="9"/>
      <c r="I9" s="5"/>
      <c r="J9" s="9"/>
    </row>
    <row r="10" spans="1:10" ht="15.6" x14ac:dyDescent="0.3">
      <c r="A10" s="6" t="s">
        <v>110</v>
      </c>
      <c r="B10" s="10">
        <f>211446.28-24779.88+78.5-111574.11-91733.52+58333.33-161400.29-115889.95+5967.94-32783.42-21270.42</f>
        <v>-283605.53999999998</v>
      </c>
      <c r="C10" s="10"/>
      <c r="D10" s="8"/>
      <c r="E10" s="1"/>
      <c r="F10" s="1"/>
      <c r="G10" s="5"/>
      <c r="H10" s="9"/>
      <c r="I10" s="5"/>
      <c r="J10" s="9"/>
    </row>
    <row r="11" spans="1:10" ht="15.6" x14ac:dyDescent="0.3">
      <c r="A11" s="6" t="s">
        <v>5</v>
      </c>
      <c r="B11" s="10">
        <v>0</v>
      </c>
      <c r="C11" s="11"/>
      <c r="D11" s="8"/>
      <c r="E11" s="1"/>
      <c r="F11" s="1"/>
      <c r="H11" s="12"/>
    </row>
    <row r="12" spans="1:10" ht="15.6" x14ac:dyDescent="0.3">
      <c r="A12" s="6" t="s">
        <v>6</v>
      </c>
      <c r="B12" s="10">
        <v>730.04</v>
      </c>
      <c r="C12" s="11"/>
      <c r="D12" s="8"/>
      <c r="E12" s="1"/>
      <c r="F12" s="1"/>
      <c r="H12" s="12"/>
    </row>
    <row r="13" spans="1:10" ht="15.6" x14ac:dyDescent="0.3">
      <c r="A13" s="6" t="s">
        <v>7</v>
      </c>
      <c r="B13" s="10">
        <v>11.82</v>
      </c>
      <c r="C13" s="11"/>
      <c r="D13" s="8"/>
      <c r="E13" s="1"/>
      <c r="F13" s="1"/>
      <c r="H13" s="12"/>
    </row>
    <row r="14" spans="1:10" ht="15.6" x14ac:dyDescent="0.3">
      <c r="A14" s="6" t="s">
        <v>8</v>
      </c>
      <c r="B14" s="10">
        <v>27.43</v>
      </c>
      <c r="C14" s="11"/>
      <c r="D14" s="8"/>
      <c r="E14" s="1"/>
      <c r="F14" s="1"/>
      <c r="H14" s="12"/>
    </row>
    <row r="15" spans="1:10" ht="15.6" x14ac:dyDescent="0.3">
      <c r="A15" s="6" t="s">
        <v>55</v>
      </c>
      <c r="B15" s="13">
        <v>4015.15</v>
      </c>
      <c r="C15" s="14"/>
      <c r="D15" s="8"/>
      <c r="E15" s="1"/>
      <c r="F15" s="1"/>
      <c r="H15" s="12"/>
    </row>
    <row r="16" spans="1:10" ht="15.6" x14ac:dyDescent="0.3">
      <c r="A16" s="15" t="s">
        <v>9</v>
      </c>
      <c r="B16" s="7"/>
      <c r="C16" s="7">
        <f>SUM(B8:B15)</f>
        <v>-11433.190000000004</v>
      </c>
      <c r="D16" s="8"/>
      <c r="E16" s="1"/>
      <c r="F16" s="1"/>
      <c r="G16" s="5"/>
      <c r="H16" s="16"/>
      <c r="I16" s="17"/>
      <c r="J16" s="16"/>
    </row>
    <row r="17" spans="1:8" x14ac:dyDescent="0.25">
      <c r="A17" s="1"/>
      <c r="B17" s="7"/>
      <c r="C17" s="7"/>
      <c r="D17" s="8"/>
      <c r="E17" s="1"/>
      <c r="F17" s="1"/>
    </row>
    <row r="18" spans="1:8" ht="15.6" x14ac:dyDescent="0.3">
      <c r="A18" s="6" t="s">
        <v>10</v>
      </c>
      <c r="B18" s="18">
        <v>1040894.26</v>
      </c>
      <c r="C18" s="7"/>
      <c r="D18" s="8"/>
      <c r="E18" s="1"/>
      <c r="F18" s="1"/>
      <c r="H18" s="12"/>
    </row>
    <row r="19" spans="1:8" ht="15.6" x14ac:dyDescent="0.3">
      <c r="A19" s="6" t="s">
        <v>11</v>
      </c>
      <c r="B19" s="7">
        <f>-+B10+1251110.91</f>
        <v>1534716.45</v>
      </c>
      <c r="C19" s="10"/>
      <c r="D19" s="8"/>
      <c r="E19" s="1"/>
      <c r="F19" s="1"/>
      <c r="H19" s="12"/>
    </row>
    <row r="20" spans="1:8" ht="15.6" x14ac:dyDescent="0.3">
      <c r="A20" s="6" t="s">
        <v>12</v>
      </c>
      <c r="B20" s="7">
        <v>1156840.1599999999</v>
      </c>
      <c r="C20" s="11"/>
      <c r="D20" s="8"/>
      <c r="E20" s="1"/>
      <c r="F20" s="1"/>
      <c r="H20" s="12"/>
    </row>
    <row r="21" spans="1:8" ht="15.6" x14ac:dyDescent="0.3">
      <c r="A21" s="6" t="s">
        <v>13</v>
      </c>
      <c r="B21" s="19">
        <f>2800+1665+16225.02</f>
        <v>20690.02</v>
      </c>
      <c r="C21" s="13"/>
      <c r="D21" s="8"/>
      <c r="E21" s="1"/>
      <c r="F21" s="1"/>
      <c r="H21" s="12"/>
    </row>
    <row r="22" spans="1:8" ht="15.6" x14ac:dyDescent="0.3">
      <c r="A22" s="6" t="s">
        <v>14</v>
      </c>
      <c r="B22" s="10"/>
      <c r="C22" s="10">
        <f>SUM(B18:B21)</f>
        <v>3753140.89</v>
      </c>
      <c r="D22" s="8"/>
      <c r="E22" s="1"/>
      <c r="F22" s="1"/>
      <c r="H22" s="12"/>
    </row>
    <row r="23" spans="1:8" ht="6" customHeight="1" x14ac:dyDescent="0.3">
      <c r="A23" s="6"/>
      <c r="B23" s="10"/>
      <c r="C23" s="10"/>
      <c r="D23" s="8"/>
      <c r="E23" s="1"/>
      <c r="F23" s="1"/>
      <c r="H23" s="12"/>
    </row>
    <row r="24" spans="1:8" ht="15.6" x14ac:dyDescent="0.3">
      <c r="A24" s="6" t="s">
        <v>15</v>
      </c>
      <c r="B24" s="7"/>
      <c r="C24" s="20">
        <f>C16+C22</f>
        <v>3741707.7</v>
      </c>
      <c r="D24" s="8"/>
      <c r="E24" s="1"/>
      <c r="F24" s="1"/>
      <c r="H24" s="12"/>
    </row>
    <row r="25" spans="1:8" ht="6" customHeight="1" x14ac:dyDescent="0.25">
      <c r="A25" s="1"/>
      <c r="B25" s="7"/>
      <c r="C25" s="7"/>
      <c r="D25" s="8"/>
      <c r="E25" s="1"/>
      <c r="F25" s="1"/>
    </row>
    <row r="26" spans="1:8" ht="15.6" x14ac:dyDescent="0.3">
      <c r="A26" s="6" t="s">
        <v>16</v>
      </c>
      <c r="B26" s="7"/>
      <c r="C26" s="10">
        <v>0</v>
      </c>
      <c r="D26" s="21"/>
      <c r="E26" s="1"/>
      <c r="F26" s="1"/>
      <c r="H26" s="22"/>
    </row>
    <row r="27" spans="1:8" ht="6" customHeight="1" x14ac:dyDescent="0.3">
      <c r="A27" s="6"/>
      <c r="B27" s="10"/>
      <c r="C27" s="10"/>
      <c r="D27" s="21"/>
      <c r="E27" s="1"/>
      <c r="F27" s="1"/>
      <c r="H27" s="22"/>
    </row>
    <row r="28" spans="1:8" ht="16.2" thickBot="1" x14ac:dyDescent="0.35">
      <c r="A28" s="6" t="s">
        <v>17</v>
      </c>
      <c r="B28" s="7"/>
      <c r="C28" s="23">
        <f>C16+B30</f>
        <v>3741707.7</v>
      </c>
      <c r="E28" s="1"/>
      <c r="F28" s="1"/>
      <c r="H28" s="22"/>
    </row>
    <row r="29" spans="1:8" ht="15.6" thickTop="1" x14ac:dyDescent="0.25">
      <c r="A29" s="1"/>
      <c r="B29" s="1"/>
      <c r="C29" s="1"/>
      <c r="D29" s="1"/>
      <c r="E29" s="1"/>
      <c r="F29" s="1"/>
    </row>
    <row r="30" spans="1:8" ht="16.2" thickBot="1" x14ac:dyDescent="0.35">
      <c r="A30" s="24" t="s">
        <v>18</v>
      </c>
      <c r="B30" s="25">
        <f>C22+C26</f>
        <v>3753140.89</v>
      </c>
      <c r="C30" s="26"/>
      <c r="D30" s="27"/>
      <c r="E30" s="26"/>
      <c r="F30" s="26"/>
    </row>
    <row r="31" spans="1:8" ht="16.2" thickTop="1" x14ac:dyDescent="0.3">
      <c r="A31" s="24"/>
      <c r="B31" s="10"/>
      <c r="C31" s="26"/>
      <c r="D31" s="27"/>
      <c r="E31" s="26"/>
      <c r="F31" s="26"/>
    </row>
    <row r="32" spans="1:8" ht="5.25" customHeight="1" x14ac:dyDescent="0.3">
      <c r="A32" s="24"/>
      <c r="B32" s="10"/>
      <c r="C32" s="26"/>
      <c r="D32" s="27"/>
      <c r="E32" s="26"/>
      <c r="F32" s="26"/>
    </row>
    <row r="33" spans="1:6" ht="15.6" x14ac:dyDescent="0.3">
      <c r="A33" s="28" t="s">
        <v>108</v>
      </c>
      <c r="B33" s="1"/>
      <c r="C33" s="1"/>
      <c r="D33" s="1"/>
      <c r="E33" s="1"/>
      <c r="F33" s="1"/>
    </row>
    <row r="34" spans="1:6" ht="15.6" x14ac:dyDescent="0.3">
      <c r="A34" s="29" t="s">
        <v>99</v>
      </c>
      <c r="B34" s="1"/>
      <c r="C34" s="1"/>
      <c r="D34" s="1"/>
      <c r="E34" s="1"/>
      <c r="F34" s="1"/>
    </row>
    <row r="35" spans="1:6" ht="15.6" x14ac:dyDescent="0.3">
      <c r="A35" s="6" t="s">
        <v>109</v>
      </c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ht="15.6" x14ac:dyDescent="0.3">
      <c r="A37" s="6" t="s">
        <v>22</v>
      </c>
      <c r="B37" s="1"/>
      <c r="C37" s="1"/>
      <c r="D37" s="1"/>
      <c r="E37" s="1"/>
      <c r="F37" s="1"/>
    </row>
    <row r="38" spans="1:6" ht="15.6" hidden="1" x14ac:dyDescent="0.3">
      <c r="A38" s="6" t="s">
        <v>25</v>
      </c>
      <c r="B38" s="7"/>
      <c r="C38" s="10"/>
      <c r="D38" s="1"/>
      <c r="E38" s="1"/>
      <c r="F38" s="1"/>
    </row>
    <row r="39" spans="1:6" ht="15.6" x14ac:dyDescent="0.3">
      <c r="A39" s="6" t="s">
        <v>26</v>
      </c>
      <c r="B39" s="7">
        <f>113322.3-107175.75</f>
        <v>6146.5500000000029</v>
      </c>
      <c r="C39" s="10"/>
      <c r="D39" s="1"/>
      <c r="E39" s="1"/>
      <c r="F39" s="1"/>
    </row>
    <row r="40" spans="1:6" ht="15.6" x14ac:dyDescent="0.3">
      <c r="A40" s="6" t="s">
        <v>73</v>
      </c>
      <c r="B40" s="7">
        <v>157343.14000000001</v>
      </c>
      <c r="C40" s="10"/>
      <c r="D40" s="1"/>
      <c r="E40" s="1"/>
      <c r="F40" s="1"/>
    </row>
    <row r="41" spans="1:6" ht="15.6" thickBot="1" x14ac:dyDescent="0.3">
      <c r="A41" s="1"/>
      <c r="B41" s="30">
        <f>SUM(B38:B40)</f>
        <v>163489.69</v>
      </c>
      <c r="C41" s="31"/>
      <c r="D41" s="1"/>
      <c r="E41" s="1"/>
      <c r="F41" s="1"/>
    </row>
    <row r="42" spans="1:6" ht="15.6" thickTop="1" x14ac:dyDescent="0.25">
      <c r="A42" s="1"/>
      <c r="B42" s="1"/>
      <c r="C42" s="32"/>
      <c r="D42" s="1"/>
      <c r="E42" s="1"/>
      <c r="F42" s="1"/>
    </row>
    <row r="43" spans="1:6" ht="15.6" x14ac:dyDescent="0.3">
      <c r="A43" s="52" t="s">
        <v>111</v>
      </c>
    </row>
  </sheetData>
  <mergeCells count="3">
    <mergeCell ref="A1:D1"/>
    <mergeCell ref="A2:D2"/>
    <mergeCell ref="A3:D3"/>
  </mergeCells>
  <pageMargins left="0.45" right="0.2" top="0.75" bottom="0.75" header="0.3" footer="0.3"/>
  <pageSetup scale="8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35"/>
  <sheetViews>
    <sheetView topLeftCell="A4" zoomScaleNormal="100" workbookViewId="0">
      <selection activeCell="C25" activeCellId="1" sqref="E18 C25"/>
    </sheetView>
  </sheetViews>
  <sheetFormatPr defaultRowHeight="14.4" x14ac:dyDescent="0.3"/>
  <cols>
    <col min="1" max="1" width="26.33203125" customWidth="1"/>
    <col min="2" max="2" width="14.6640625" bestFit="1" customWidth="1"/>
    <col min="6" max="6" width="13.33203125" customWidth="1"/>
  </cols>
  <sheetData>
    <row r="1" spans="1:4" x14ac:dyDescent="0.3">
      <c r="A1" s="33" t="s">
        <v>102</v>
      </c>
    </row>
    <row r="2" spans="1:4" x14ac:dyDescent="0.3">
      <c r="A2" t="s">
        <v>29</v>
      </c>
      <c r="B2" s="34">
        <v>3388858.08</v>
      </c>
    </row>
    <row r="3" spans="1:4" x14ac:dyDescent="0.3">
      <c r="A3" t="s">
        <v>30</v>
      </c>
      <c r="B3" s="35">
        <v>0</v>
      </c>
    </row>
    <row r="4" spans="1:4" x14ac:dyDescent="0.3">
      <c r="A4" t="s">
        <v>31</v>
      </c>
      <c r="B4" s="34">
        <f>525347.1+581558.06</f>
        <v>1106905.1600000001</v>
      </c>
    </row>
    <row r="5" spans="1:4" x14ac:dyDescent="0.3">
      <c r="A5" t="s">
        <v>32</v>
      </c>
      <c r="B5" s="34">
        <v>-532230.06000000006</v>
      </c>
      <c r="D5" s="35"/>
    </row>
    <row r="6" spans="1:4" x14ac:dyDescent="0.3">
      <c r="A6" t="s">
        <v>33</v>
      </c>
      <c r="B6" s="34">
        <v>381179.23</v>
      </c>
      <c r="C6" t="s">
        <v>34</v>
      </c>
    </row>
    <row r="7" spans="1:4" x14ac:dyDescent="0.3">
      <c r="A7" t="s">
        <v>35</v>
      </c>
      <c r="B7" s="34">
        <f>-34410.43+21270.42</f>
        <v>-13140.010000000002</v>
      </c>
    </row>
    <row r="8" spans="1:4" x14ac:dyDescent="0.3">
      <c r="A8" t="s">
        <v>91</v>
      </c>
      <c r="B8" s="34">
        <v>-581558.06000000006</v>
      </c>
      <c r="C8" t="s">
        <v>106</v>
      </c>
    </row>
    <row r="9" spans="1:4" x14ac:dyDescent="0.3">
      <c r="A9" t="s">
        <v>36</v>
      </c>
      <c r="B9" s="36">
        <v>221990.24</v>
      </c>
      <c r="C9" t="s">
        <v>37</v>
      </c>
    </row>
    <row r="10" spans="1:4" x14ac:dyDescent="0.3">
      <c r="A10" t="s">
        <v>38</v>
      </c>
      <c r="B10" s="34">
        <v>-219207.94</v>
      </c>
    </row>
    <row r="11" spans="1:4" x14ac:dyDescent="0.3">
      <c r="A11" t="s">
        <v>39</v>
      </c>
      <c r="B11" s="34">
        <v>344.25</v>
      </c>
    </row>
    <row r="12" spans="1:4" x14ac:dyDescent="0.3">
      <c r="A12" t="s">
        <v>40</v>
      </c>
      <c r="B12" s="34">
        <v>0</v>
      </c>
      <c r="C12" t="s">
        <v>63</v>
      </c>
    </row>
    <row r="13" spans="1:4" x14ac:dyDescent="0.3">
      <c r="A13" t="s">
        <v>16</v>
      </c>
      <c r="B13" s="34">
        <v>0</v>
      </c>
    </row>
    <row r="14" spans="1:4" x14ac:dyDescent="0.3">
      <c r="A14" t="s">
        <v>42</v>
      </c>
      <c r="B14" s="34"/>
    </row>
    <row r="15" spans="1:4" x14ac:dyDescent="0.3">
      <c r="A15" t="s">
        <v>57</v>
      </c>
      <c r="B15" s="34"/>
    </row>
    <row r="16" spans="1:4" x14ac:dyDescent="0.3">
      <c r="A16" t="s">
        <v>43</v>
      </c>
      <c r="B16" s="37">
        <f>SUM(B2:B15)</f>
        <v>3753140.89</v>
      </c>
    </row>
    <row r="17" spans="1:3" x14ac:dyDescent="0.3">
      <c r="A17" t="s">
        <v>44</v>
      </c>
      <c r="B17" s="34">
        <v>-3753140.89</v>
      </c>
    </row>
    <row r="18" spans="1:3" ht="15" thickBot="1" x14ac:dyDescent="0.35">
      <c r="A18" t="s">
        <v>45</v>
      </c>
      <c r="B18" s="38">
        <f>SUM(B16:B17)</f>
        <v>0</v>
      </c>
    </row>
    <row r="19" spans="1:3" ht="15" thickTop="1" x14ac:dyDescent="0.3">
      <c r="B19" s="39"/>
    </row>
    <row r="20" spans="1:3" x14ac:dyDescent="0.3">
      <c r="A20" t="s">
        <v>29</v>
      </c>
      <c r="B20" s="35">
        <v>4180864.88</v>
      </c>
    </row>
    <row r="21" spans="1:3" x14ac:dyDescent="0.3">
      <c r="A21" t="s">
        <v>56</v>
      </c>
      <c r="B21" s="34">
        <v>730.05</v>
      </c>
    </row>
    <row r="22" spans="1:3" x14ac:dyDescent="0.3">
      <c r="A22" t="s">
        <v>72</v>
      </c>
      <c r="B22" s="34"/>
      <c r="C22" t="s">
        <v>96</v>
      </c>
    </row>
    <row r="23" spans="1:3" x14ac:dyDescent="0.3">
      <c r="A23" t="s">
        <v>46</v>
      </c>
      <c r="B23" s="34">
        <f>-3229512.39-21270.42</f>
        <v>-3250782.81</v>
      </c>
      <c r="C23" t="s">
        <v>103</v>
      </c>
    </row>
    <row r="24" spans="1:3" x14ac:dyDescent="0.3">
      <c r="A24" t="s">
        <v>33</v>
      </c>
      <c r="B24" s="34"/>
    </row>
    <row r="25" spans="1:3" x14ac:dyDescent="0.3">
      <c r="A25" t="s">
        <v>39</v>
      </c>
      <c r="B25" s="34"/>
    </row>
    <row r="26" spans="1:3" x14ac:dyDescent="0.3">
      <c r="A26" t="s">
        <v>40</v>
      </c>
      <c r="B26" s="34"/>
    </row>
    <row r="27" spans="1:3" x14ac:dyDescent="0.3">
      <c r="A27" t="s">
        <v>48</v>
      </c>
      <c r="B27" s="34">
        <v>50449.88</v>
      </c>
    </row>
    <row r="28" spans="1:3" x14ac:dyDescent="0.3">
      <c r="A28" t="s">
        <v>42</v>
      </c>
      <c r="B28" s="34"/>
    </row>
    <row r="29" spans="1:3" x14ac:dyDescent="0.3">
      <c r="A29" t="s">
        <v>49</v>
      </c>
      <c r="B29" s="34">
        <f>11.82-299512.56</f>
        <v>-299500.74</v>
      </c>
      <c r="C29" t="s">
        <v>104</v>
      </c>
    </row>
    <row r="30" spans="1:3" x14ac:dyDescent="0.3">
      <c r="A30" t="s">
        <v>50</v>
      </c>
      <c r="B30" s="34">
        <f>27.43-693221.87</f>
        <v>-693194.44</v>
      </c>
      <c r="C30" t="s">
        <v>105</v>
      </c>
    </row>
    <row r="31" spans="1:3" x14ac:dyDescent="0.3">
      <c r="A31" t="s">
        <v>57</v>
      </c>
      <c r="B31" s="34"/>
    </row>
    <row r="32" spans="1:3" x14ac:dyDescent="0.3">
      <c r="A32" t="s">
        <v>51</v>
      </c>
      <c r="B32" s="40">
        <f>SUM(B20:B31)</f>
        <v>-11433.180000000284</v>
      </c>
    </row>
    <row r="33" spans="1:2" x14ac:dyDescent="0.3">
      <c r="A33" t="s">
        <v>52</v>
      </c>
      <c r="B33" s="35">
        <v>11433.19</v>
      </c>
    </row>
    <row r="34" spans="1:2" ht="15" thickBot="1" x14ac:dyDescent="0.35">
      <c r="A34" t="s">
        <v>45</v>
      </c>
      <c r="B34" s="41">
        <f>SUM(B32:B33)</f>
        <v>9.9999997164559318E-3</v>
      </c>
    </row>
    <row r="35" spans="1:2" ht="15" thickTop="1" x14ac:dyDescent="0.3"/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transitionEntry="1">
    <pageSetUpPr fitToPage="1"/>
  </sheetPr>
  <dimension ref="A1:H38"/>
  <sheetViews>
    <sheetView workbookViewId="0">
      <selection activeCell="A5" sqref="A5"/>
    </sheetView>
  </sheetViews>
  <sheetFormatPr defaultColWidth="9.109375" defaultRowHeight="13.2" x14ac:dyDescent="0.25"/>
  <cols>
    <col min="1" max="1" width="13.5546875" style="66" customWidth="1"/>
    <col min="2" max="2" width="14" style="66" bestFit="1" customWidth="1"/>
    <col min="3" max="3" width="2" style="66" customWidth="1"/>
    <col min="4" max="4" width="10.109375" style="66" customWidth="1"/>
    <col min="5" max="5" width="13.33203125" style="66" bestFit="1" customWidth="1"/>
    <col min="6" max="6" width="15.5546875" style="66" customWidth="1"/>
    <col min="7" max="7" width="14.6640625" style="66" customWidth="1"/>
    <col min="8" max="8" width="14.5546875" style="66" bestFit="1" customWidth="1"/>
    <col min="9" max="9" width="18.44140625" style="66" customWidth="1"/>
    <col min="10" max="16384" width="9.109375" style="66"/>
  </cols>
  <sheetData>
    <row r="1" spans="1:8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8" x14ac:dyDescent="0.25">
      <c r="A2" s="97" t="s">
        <v>172</v>
      </c>
      <c r="B2" s="97"/>
      <c r="C2" s="97"/>
      <c r="D2" s="97"/>
      <c r="E2" s="97"/>
      <c r="F2" s="97"/>
      <c r="G2" s="97"/>
      <c r="H2" s="97"/>
    </row>
    <row r="3" spans="1:8" x14ac:dyDescent="0.25">
      <c r="A3" s="97" t="s">
        <v>173</v>
      </c>
      <c r="B3" s="97"/>
      <c r="C3" s="97"/>
      <c r="D3" s="97"/>
      <c r="E3" s="97"/>
      <c r="F3" s="97"/>
      <c r="G3" s="97"/>
      <c r="H3" s="97"/>
    </row>
    <row r="4" spans="1:8" x14ac:dyDescent="0.25">
      <c r="A4" s="97" t="s">
        <v>208</v>
      </c>
      <c r="B4" s="97"/>
      <c r="C4" s="97"/>
      <c r="D4" s="97"/>
      <c r="E4" s="97"/>
      <c r="F4" s="97"/>
      <c r="G4" s="97"/>
      <c r="H4" s="97"/>
    </row>
    <row r="5" spans="1:8" x14ac:dyDescent="0.25">
      <c r="A5" s="67"/>
      <c r="B5" s="67"/>
      <c r="C5" s="67"/>
      <c r="D5" s="67"/>
      <c r="E5" s="67"/>
      <c r="F5" s="67"/>
      <c r="G5" s="67"/>
      <c r="H5" s="67"/>
    </row>
    <row r="6" spans="1:8" x14ac:dyDescent="0.25">
      <c r="A6" s="67"/>
      <c r="B6" s="67"/>
      <c r="C6" s="67"/>
      <c r="D6" s="67"/>
      <c r="E6" s="67"/>
      <c r="F6" s="67"/>
      <c r="G6" s="67"/>
      <c r="H6" s="67"/>
    </row>
    <row r="7" spans="1:8" x14ac:dyDescent="0.25">
      <c r="A7" s="67"/>
      <c r="B7" s="67"/>
      <c r="C7" s="67"/>
      <c r="D7" s="67"/>
      <c r="E7" s="67"/>
      <c r="F7" s="67"/>
      <c r="G7" s="67"/>
      <c r="H7" s="67"/>
    </row>
    <row r="8" spans="1:8" x14ac:dyDescent="0.25">
      <c r="A8" s="68" t="s">
        <v>174</v>
      </c>
      <c r="B8" s="67"/>
      <c r="C8" s="67"/>
      <c r="D8" s="67"/>
      <c r="E8" s="67"/>
      <c r="F8" s="67"/>
      <c r="G8" s="69">
        <v>1156840.1599999999</v>
      </c>
      <c r="H8" s="67"/>
    </row>
    <row r="9" spans="1:8" x14ac:dyDescent="0.25">
      <c r="A9" s="67"/>
      <c r="B9" s="67"/>
      <c r="C9" s="67"/>
      <c r="D9" s="67"/>
      <c r="E9" s="67"/>
      <c r="F9" s="67"/>
      <c r="G9" s="67"/>
      <c r="H9" s="67"/>
    </row>
    <row r="10" spans="1:8" x14ac:dyDescent="0.25">
      <c r="A10" s="68" t="s">
        <v>175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/>
      <c r="B11" s="95"/>
      <c r="C11" s="67"/>
      <c r="D11" s="95"/>
      <c r="E11" s="67"/>
      <c r="F11" s="67"/>
      <c r="G11" s="71"/>
      <c r="H11" s="67"/>
    </row>
    <row r="12" spans="1:8" x14ac:dyDescent="0.25">
      <c r="A12" s="67"/>
      <c r="B12" s="67"/>
      <c r="C12" s="67"/>
      <c r="D12" s="67"/>
      <c r="E12" s="67"/>
      <c r="F12" s="67"/>
      <c r="G12" s="67"/>
      <c r="H12" s="67"/>
    </row>
    <row r="13" spans="1:8" x14ac:dyDescent="0.25">
      <c r="A13" s="67"/>
      <c r="B13" s="67"/>
      <c r="C13" s="67"/>
      <c r="D13" s="67"/>
      <c r="E13" s="67"/>
      <c r="F13" s="67"/>
      <c r="G13" s="67"/>
      <c r="H13" s="67"/>
    </row>
    <row r="14" spans="1:8" x14ac:dyDescent="0.25">
      <c r="A14" s="68" t="s">
        <v>176</v>
      </c>
      <c r="B14" s="67"/>
      <c r="C14" s="67"/>
      <c r="D14" s="67"/>
      <c r="E14" s="67"/>
      <c r="F14" s="67"/>
      <c r="G14" s="67"/>
      <c r="H14" s="67"/>
    </row>
    <row r="15" spans="1:8" x14ac:dyDescent="0.25">
      <c r="A15" s="70"/>
      <c r="B15" s="72"/>
      <c r="C15" s="67"/>
      <c r="D15" s="67"/>
      <c r="E15" s="69"/>
      <c r="F15" s="67"/>
      <c r="G15" s="67"/>
      <c r="H15" s="67"/>
    </row>
    <row r="16" spans="1:8" x14ac:dyDescent="0.25">
      <c r="A16" s="67"/>
      <c r="B16" s="72"/>
      <c r="C16" s="67"/>
      <c r="D16" s="67"/>
      <c r="E16" s="69"/>
      <c r="F16" s="67"/>
      <c r="G16" s="67"/>
      <c r="H16" s="67"/>
    </row>
    <row r="17" spans="1:8" x14ac:dyDescent="0.25">
      <c r="A17" s="73"/>
      <c r="B17" s="72"/>
      <c r="C17" s="73"/>
      <c r="D17" s="73"/>
      <c r="E17" s="69"/>
      <c r="F17" s="73"/>
      <c r="G17" s="73"/>
      <c r="H17" s="73"/>
    </row>
    <row r="18" spans="1:8" x14ac:dyDescent="0.25">
      <c r="A18" s="91"/>
      <c r="B18" s="72"/>
      <c r="C18" s="73"/>
      <c r="D18" s="73"/>
      <c r="E18" s="69"/>
      <c r="F18" s="73"/>
      <c r="G18" s="74"/>
      <c r="H18" s="73"/>
    </row>
    <row r="19" spans="1:8" x14ac:dyDescent="0.25">
      <c r="A19" s="73"/>
      <c r="B19" s="72"/>
      <c r="C19" s="73"/>
      <c r="D19" s="73"/>
      <c r="E19" s="73"/>
      <c r="F19" s="73"/>
      <c r="G19" s="73"/>
      <c r="H19" s="73"/>
    </row>
    <row r="20" spans="1:8" ht="13.8" thickBot="1" x14ac:dyDescent="0.3">
      <c r="A20" s="75" t="s">
        <v>177</v>
      </c>
      <c r="B20" s="72"/>
      <c r="C20" s="73"/>
      <c r="D20" s="73"/>
      <c r="E20" s="73"/>
      <c r="F20" s="73"/>
      <c r="G20" s="76">
        <f>SUM(G8:G19)</f>
        <v>1156840.1599999999</v>
      </c>
      <c r="H20" s="73"/>
    </row>
    <row r="21" spans="1:8" ht="13.8" thickTop="1" x14ac:dyDescent="0.25">
      <c r="A21" s="73"/>
      <c r="B21" s="69"/>
      <c r="C21" s="73"/>
      <c r="D21" s="73"/>
      <c r="E21" s="73"/>
      <c r="F21" s="73"/>
      <c r="G21" s="73"/>
      <c r="H21" s="73"/>
    </row>
    <row r="22" spans="1:8" x14ac:dyDescent="0.25">
      <c r="A22" s="75" t="s">
        <v>178</v>
      </c>
      <c r="B22" s="69"/>
      <c r="C22" s="73"/>
      <c r="D22" s="73"/>
      <c r="E22" s="73"/>
      <c r="F22" s="73"/>
      <c r="G22" s="69">
        <v>1156840.1599999999</v>
      </c>
      <c r="H22" s="73"/>
    </row>
    <row r="23" spans="1:8" x14ac:dyDescent="0.25">
      <c r="A23" s="75" t="s">
        <v>179</v>
      </c>
      <c r="B23" s="73"/>
      <c r="C23" s="73"/>
      <c r="D23" s="73"/>
      <c r="E23" s="73"/>
      <c r="F23" s="73"/>
      <c r="G23" s="69"/>
      <c r="H23" s="73"/>
    </row>
    <row r="24" spans="1:8" x14ac:dyDescent="0.25">
      <c r="A24" s="73"/>
      <c r="B24" s="73"/>
      <c r="C24" s="73"/>
      <c r="D24" s="73"/>
      <c r="E24" s="73"/>
      <c r="F24" s="73"/>
      <c r="G24" s="73"/>
      <c r="H24" s="73"/>
    </row>
    <row r="25" spans="1:8" x14ac:dyDescent="0.25">
      <c r="A25" s="73"/>
      <c r="B25" s="73"/>
      <c r="C25" s="73"/>
      <c r="D25" s="73"/>
      <c r="E25" s="73"/>
      <c r="F25" s="73"/>
      <c r="G25" s="73"/>
      <c r="H25" s="73"/>
    </row>
    <row r="26" spans="1:8" ht="13.8" thickBot="1" x14ac:dyDescent="0.3">
      <c r="A26" s="75" t="s">
        <v>180</v>
      </c>
      <c r="B26" s="73"/>
      <c r="C26" s="73"/>
      <c r="D26" s="73"/>
      <c r="E26" s="73"/>
      <c r="F26" s="73"/>
      <c r="G26" s="77">
        <f>SUM(G22:G25)</f>
        <v>1156840.1599999999</v>
      </c>
      <c r="H26" s="73"/>
    </row>
    <row r="27" spans="1:8" ht="15" thickTop="1" x14ac:dyDescent="0.3">
      <c r="A27" s="73"/>
      <c r="B27" s="73"/>
      <c r="C27" s="73"/>
      <c r="D27" s="73"/>
      <c r="E27" s="73"/>
      <c r="F27" s="73"/>
      <c r="G27" s="78"/>
      <c r="H27" s="73"/>
    </row>
    <row r="28" spans="1:8" x14ac:dyDescent="0.25">
      <c r="A28" s="75" t="s">
        <v>181</v>
      </c>
      <c r="B28" s="73"/>
      <c r="C28" s="73"/>
      <c r="D28" s="73"/>
      <c r="E28" s="73"/>
      <c r="F28" s="73"/>
      <c r="G28" s="79">
        <f>G20-G26</f>
        <v>0</v>
      </c>
      <c r="H28" s="73"/>
    </row>
    <row r="29" spans="1:8" x14ac:dyDescent="0.25">
      <c r="A29" s="73"/>
      <c r="B29" s="73"/>
      <c r="C29" s="73"/>
      <c r="D29" s="73"/>
      <c r="E29" s="73"/>
      <c r="F29" s="73"/>
      <c r="G29" s="73"/>
      <c r="H29" s="73"/>
    </row>
    <row r="30" spans="1:8" ht="11.25" customHeight="1" x14ac:dyDescent="0.25">
      <c r="A30" s="73"/>
      <c r="B30" s="73"/>
      <c r="C30" s="73"/>
      <c r="D30" s="73"/>
      <c r="E30" s="73"/>
      <c r="F30" s="73"/>
      <c r="G30" s="73"/>
      <c r="H30" s="73"/>
    </row>
    <row r="31" spans="1:8" x14ac:dyDescent="0.25">
      <c r="A31" s="80" t="s">
        <v>182</v>
      </c>
      <c r="B31" s="80"/>
      <c r="C31" s="80"/>
      <c r="D31" s="92"/>
      <c r="E31" s="80"/>
      <c r="F31" s="80"/>
      <c r="G31" s="80"/>
      <c r="H31" s="80"/>
    </row>
    <row r="32" spans="1:8" ht="14.4" x14ac:dyDescent="0.3">
      <c r="A32" s="80" t="s">
        <v>183</v>
      </c>
      <c r="B32" s="94">
        <f>1014869.83+290.6+313.54+284.82+266.51+283.15+266.5+275.65+302.94</f>
        <v>1017153.5399999999</v>
      </c>
      <c r="C32" s="80"/>
      <c r="D32" s="82">
        <f>B32/B34</f>
        <v>0.8792515813074816</v>
      </c>
      <c r="E32" s="69">
        <f>D32*0</f>
        <v>0</v>
      </c>
      <c r="F32" s="80"/>
      <c r="G32" s="80"/>
      <c r="H32" s="80"/>
    </row>
    <row r="33" spans="1:8" ht="14.4" x14ac:dyDescent="0.3">
      <c r="A33" s="80" t="s">
        <v>145</v>
      </c>
      <c r="B33" s="94">
        <f>564104.69+161.52-78.5-225000+104.76+94.94+88.84+94.61-200000+36.6+37.85+41.31</f>
        <v>139686.62</v>
      </c>
      <c r="C33" s="80" t="s">
        <v>184</v>
      </c>
      <c r="D33" s="82">
        <f>B33/B34</f>
        <v>0.12074841869251843</v>
      </c>
      <c r="E33" s="69">
        <f>-E32+0</f>
        <v>0</v>
      </c>
      <c r="F33" s="83" t="s">
        <v>198</v>
      </c>
      <c r="G33" s="84">
        <f>E33*1</f>
        <v>0</v>
      </c>
      <c r="H33" s="80"/>
    </row>
    <row r="34" spans="1:8" ht="15" thickBot="1" x14ac:dyDescent="0.35">
      <c r="A34" s="80"/>
      <c r="B34" s="93">
        <f>SUM(B32:B33)</f>
        <v>1156840.1599999999</v>
      </c>
      <c r="C34" s="80"/>
      <c r="D34" s="86">
        <f>SUM(D32:D33)</f>
        <v>1</v>
      </c>
      <c r="E34" s="87"/>
      <c r="F34" s="83" t="s">
        <v>199</v>
      </c>
      <c r="G34" s="84">
        <f>E33*0</f>
        <v>0</v>
      </c>
      <c r="H34" s="80"/>
    </row>
    <row r="35" spans="1:8" ht="13.8" thickTop="1" x14ac:dyDescent="0.25">
      <c r="A35" s="80"/>
      <c r="B35" s="80"/>
      <c r="C35" s="80"/>
      <c r="D35" s="80"/>
      <c r="E35" s="80"/>
      <c r="F35" s="88"/>
      <c r="G35" s="80"/>
      <c r="H35" s="80"/>
    </row>
    <row r="36" spans="1:8" x14ac:dyDescent="0.25">
      <c r="A36" s="83" t="s">
        <v>187</v>
      </c>
      <c r="B36" s="80"/>
      <c r="C36" s="80"/>
      <c r="D36" s="80"/>
      <c r="E36" s="80"/>
      <c r="F36" s="80"/>
      <c r="G36" s="80"/>
      <c r="H36" s="80"/>
    </row>
    <row r="38" spans="1:8" ht="14.4" x14ac:dyDescent="0.3">
      <c r="A38" s="89">
        <v>0</v>
      </c>
      <c r="B38" s="90">
        <f>A38/B33</f>
        <v>0</v>
      </c>
    </row>
  </sheetData>
  <mergeCells count="4">
    <mergeCell ref="A1:H1"/>
    <mergeCell ref="A2:H2"/>
    <mergeCell ref="A3:H3"/>
    <mergeCell ref="A4:H4"/>
  </mergeCells>
  <pageMargins left="0.54" right="0.45" top="0.52" bottom="0.48" header="0.37" footer="0.22"/>
  <pageSetup scale="99" fitToHeight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42"/>
  <sheetViews>
    <sheetView zoomScaleNormal="100" workbookViewId="0">
      <selection activeCell="B12" sqref="B12"/>
    </sheetView>
  </sheetViews>
  <sheetFormatPr defaultColWidth="9.109375" defaultRowHeight="15" x14ac:dyDescent="0.25"/>
  <cols>
    <col min="1" max="1" width="49.44140625" style="2" bestFit="1" customWidth="1"/>
    <col min="2" max="4" width="19.109375" style="2" customWidth="1"/>
    <col min="5" max="5" width="5.88671875" style="2" customWidth="1"/>
    <col min="6" max="7" width="9.109375" style="2"/>
    <col min="8" max="8" width="15.6640625" style="2" customWidth="1"/>
    <col min="9" max="9" width="3.5546875" style="2" customWidth="1"/>
    <col min="10" max="10" width="15.109375" style="2" bestFit="1" customWidth="1"/>
    <col min="11" max="16384" width="9.109375" style="2"/>
  </cols>
  <sheetData>
    <row r="1" spans="1:10" ht="15.6" x14ac:dyDescent="0.3">
      <c r="A1" s="96" t="s">
        <v>0</v>
      </c>
      <c r="B1" s="96"/>
      <c r="C1" s="96"/>
      <c r="D1" s="96"/>
      <c r="E1" s="1"/>
      <c r="F1" s="1"/>
    </row>
    <row r="2" spans="1:10" ht="15.6" x14ac:dyDescent="0.3">
      <c r="A2" s="96" t="s">
        <v>1</v>
      </c>
      <c r="B2" s="96"/>
      <c r="C2" s="96"/>
      <c r="D2" s="96"/>
      <c r="E2" s="1"/>
      <c r="F2" s="1"/>
    </row>
    <row r="3" spans="1:10" ht="15.6" x14ac:dyDescent="0.3">
      <c r="A3" s="96" t="s">
        <v>95</v>
      </c>
      <c r="B3" s="96"/>
      <c r="C3" s="96"/>
      <c r="D3" s="96"/>
      <c r="E3" s="1"/>
      <c r="F3" s="1"/>
    </row>
    <row r="4" spans="1:10" ht="15.6" x14ac:dyDescent="0.3">
      <c r="A4" s="48"/>
      <c r="B4" s="48"/>
      <c r="C4" s="48"/>
      <c r="D4" s="48"/>
      <c r="E4" s="1"/>
      <c r="F4" s="1"/>
    </row>
    <row r="5" spans="1:10" ht="15.6" x14ac:dyDescent="0.3">
      <c r="A5" s="48"/>
      <c r="B5" s="48"/>
      <c r="C5" s="48"/>
      <c r="D5" s="48"/>
      <c r="E5" s="1"/>
      <c r="F5" s="1"/>
    </row>
    <row r="6" spans="1:10" x14ac:dyDescent="0.25">
      <c r="A6" s="1"/>
      <c r="B6" s="1"/>
      <c r="C6" s="1"/>
      <c r="D6" s="4"/>
      <c r="E6" s="1"/>
      <c r="F6" s="1"/>
    </row>
    <row r="7" spans="1:10" x14ac:dyDescent="0.25">
      <c r="A7" s="1"/>
      <c r="B7" s="1"/>
      <c r="C7" s="1"/>
      <c r="D7" s="1"/>
      <c r="E7" s="1"/>
      <c r="F7" s="1"/>
      <c r="G7" s="5"/>
      <c r="H7" s="5"/>
      <c r="I7" s="5"/>
      <c r="J7" s="5"/>
    </row>
    <row r="8" spans="1:10" ht="15.6" x14ac:dyDescent="0.3">
      <c r="A8" s="6"/>
      <c r="B8" s="7"/>
      <c r="C8" s="7"/>
      <c r="D8" s="8"/>
      <c r="E8" s="1"/>
      <c r="F8" s="1"/>
      <c r="G8" s="5"/>
      <c r="H8" s="9"/>
      <c r="I8" s="5"/>
      <c r="J8" s="9"/>
    </row>
    <row r="9" spans="1:10" ht="15.6" x14ac:dyDescent="0.3">
      <c r="A9" s="6" t="s">
        <v>3</v>
      </c>
      <c r="B9" s="7">
        <v>216938.03</v>
      </c>
      <c r="C9" s="7"/>
      <c r="D9" s="8"/>
      <c r="E9" s="1"/>
      <c r="F9" s="1"/>
      <c r="G9" s="5"/>
      <c r="H9" s="9"/>
      <c r="I9" s="5"/>
      <c r="J9" s="9"/>
    </row>
    <row r="10" spans="1:10" ht="15.6" x14ac:dyDescent="0.3">
      <c r="A10" s="6" t="s">
        <v>4</v>
      </c>
      <c r="B10" s="10">
        <f>211446.28-24779.88+78.5-111574.11-91733.52+58333.33-161400.29-115889.95+5967.94-32783.42</f>
        <v>-262335.12</v>
      </c>
      <c r="C10" s="10"/>
      <c r="D10" s="8"/>
      <c r="E10" s="1"/>
      <c r="F10" s="1"/>
      <c r="G10" s="5"/>
      <c r="H10" s="9"/>
      <c r="I10" s="5"/>
      <c r="J10" s="9"/>
    </row>
    <row r="11" spans="1:10" ht="15.6" x14ac:dyDescent="0.3">
      <c r="A11" s="6" t="s">
        <v>5</v>
      </c>
      <c r="B11" s="10">
        <v>0</v>
      </c>
      <c r="C11" s="11"/>
      <c r="D11" s="8"/>
      <c r="E11" s="1"/>
      <c r="F11" s="1"/>
      <c r="H11" s="12"/>
    </row>
    <row r="12" spans="1:10" ht="15.6" x14ac:dyDescent="0.3">
      <c r="A12" s="6" t="s">
        <v>6</v>
      </c>
      <c r="B12" s="10">
        <v>3229512.39</v>
      </c>
      <c r="C12" s="11"/>
      <c r="D12" s="8"/>
      <c r="E12" s="1"/>
      <c r="F12" s="1"/>
      <c r="H12" s="12"/>
    </row>
    <row r="13" spans="1:10" ht="15.6" x14ac:dyDescent="0.3">
      <c r="A13" s="6" t="s">
        <v>7</v>
      </c>
      <c r="B13" s="10">
        <v>299512.56</v>
      </c>
      <c r="C13" s="11"/>
      <c r="D13" s="8"/>
      <c r="E13" s="1"/>
      <c r="F13" s="1"/>
      <c r="H13" s="12"/>
    </row>
    <row r="14" spans="1:10" ht="15.6" x14ac:dyDescent="0.3">
      <c r="A14" s="6" t="s">
        <v>8</v>
      </c>
      <c r="B14" s="10">
        <v>693221.87</v>
      </c>
      <c r="C14" s="11"/>
      <c r="D14" s="8"/>
      <c r="E14" s="1"/>
      <c r="F14" s="1"/>
      <c r="H14" s="12"/>
    </row>
    <row r="15" spans="1:10" ht="15.6" x14ac:dyDescent="0.3">
      <c r="A15" s="6" t="s">
        <v>55</v>
      </c>
      <c r="B15" s="13">
        <v>4015.15</v>
      </c>
      <c r="C15" s="14"/>
      <c r="D15" s="8"/>
      <c r="E15" s="1"/>
      <c r="F15" s="1"/>
      <c r="H15" s="12"/>
    </row>
    <row r="16" spans="1:10" ht="15.6" x14ac:dyDescent="0.3">
      <c r="A16" s="15" t="s">
        <v>9</v>
      </c>
      <c r="B16" s="7"/>
      <c r="C16" s="49">
        <f>SUM(B8:B15)</f>
        <v>4180864.8800000004</v>
      </c>
      <c r="D16" s="8"/>
      <c r="E16" s="1"/>
      <c r="F16" s="1"/>
      <c r="G16" s="5"/>
      <c r="H16" s="16"/>
      <c r="I16" s="17"/>
      <c r="J16" s="16"/>
    </row>
    <row r="17" spans="1:8" x14ac:dyDescent="0.25">
      <c r="A17" s="1"/>
      <c r="B17" s="7"/>
      <c r="C17" s="7"/>
      <c r="D17" s="8"/>
      <c r="E17" s="1"/>
      <c r="F17" s="1"/>
    </row>
    <row r="18" spans="1:8" ht="15.6" x14ac:dyDescent="0.3">
      <c r="A18" s="6" t="s">
        <v>10</v>
      </c>
      <c r="B18" s="18">
        <v>466219.16</v>
      </c>
      <c r="C18" s="7"/>
      <c r="D18" s="8"/>
      <c r="E18" s="1"/>
      <c r="F18" s="1"/>
      <c r="H18" s="12"/>
    </row>
    <row r="19" spans="1:8" ht="15.6" x14ac:dyDescent="0.3">
      <c r="A19" s="6" t="s">
        <v>11</v>
      </c>
      <c r="B19" s="7">
        <f>-+B10+1485900.17</f>
        <v>1748235.29</v>
      </c>
      <c r="C19" s="10"/>
      <c r="D19" s="8"/>
      <c r="E19" s="1"/>
      <c r="F19" s="1"/>
      <c r="H19" s="12"/>
    </row>
    <row r="20" spans="1:8" ht="15.6" x14ac:dyDescent="0.3">
      <c r="A20" s="6" t="s">
        <v>12</v>
      </c>
      <c r="B20" s="7">
        <v>1156495.9099999999</v>
      </c>
      <c r="C20" s="11"/>
      <c r="D20" s="8"/>
      <c r="E20" s="1"/>
      <c r="F20" s="1"/>
      <c r="H20" s="12"/>
    </row>
    <row r="21" spans="1:8" ht="15.6" x14ac:dyDescent="0.3">
      <c r="A21" s="6" t="s">
        <v>13</v>
      </c>
      <c r="B21" s="19">
        <f>2800+1665+13442.72</f>
        <v>17907.72</v>
      </c>
      <c r="C21" s="13"/>
      <c r="D21" s="8"/>
      <c r="E21" s="1"/>
      <c r="F21" s="1"/>
      <c r="H21" s="12"/>
    </row>
    <row r="22" spans="1:8" ht="15.6" x14ac:dyDescent="0.3">
      <c r="A22" s="6" t="s">
        <v>14</v>
      </c>
      <c r="B22" s="10"/>
      <c r="C22" s="10">
        <f>SUM(B18:B21)</f>
        <v>3388858.0800000005</v>
      </c>
      <c r="D22" s="8"/>
      <c r="E22" s="1"/>
      <c r="F22" s="1"/>
      <c r="H22" s="12"/>
    </row>
    <row r="23" spans="1:8" ht="6" customHeight="1" x14ac:dyDescent="0.3">
      <c r="A23" s="6"/>
      <c r="B23" s="10"/>
      <c r="C23" s="10"/>
      <c r="D23" s="8"/>
      <c r="E23" s="1"/>
      <c r="F23" s="1"/>
      <c r="H23" s="12"/>
    </row>
    <row r="24" spans="1:8" ht="15.6" x14ac:dyDescent="0.3">
      <c r="A24" s="6" t="s">
        <v>15</v>
      </c>
      <c r="B24" s="7"/>
      <c r="C24" s="20">
        <f>C16+C22</f>
        <v>7569722.9600000009</v>
      </c>
      <c r="D24" s="8"/>
      <c r="E24" s="1"/>
      <c r="F24" s="1"/>
      <c r="H24" s="12"/>
    </row>
    <row r="25" spans="1:8" ht="6" customHeight="1" x14ac:dyDescent="0.25">
      <c r="A25" s="1"/>
      <c r="B25" s="7"/>
      <c r="C25" s="7"/>
      <c r="D25" s="8"/>
      <c r="E25" s="1"/>
      <c r="F25" s="1"/>
    </row>
    <row r="26" spans="1:8" ht="15.6" x14ac:dyDescent="0.3">
      <c r="A26" s="6" t="s">
        <v>16</v>
      </c>
      <c r="B26" s="7"/>
      <c r="C26" s="10">
        <v>0</v>
      </c>
      <c r="D26" s="21"/>
      <c r="E26" s="1"/>
      <c r="F26" s="1"/>
      <c r="H26" s="22"/>
    </row>
    <row r="27" spans="1:8" ht="6" customHeight="1" x14ac:dyDescent="0.3">
      <c r="A27" s="6"/>
      <c r="B27" s="10"/>
      <c r="C27" s="10"/>
      <c r="D27" s="21"/>
      <c r="E27" s="1"/>
      <c r="F27" s="1"/>
      <c r="H27" s="22"/>
    </row>
    <row r="28" spans="1:8" ht="16.2" thickBot="1" x14ac:dyDescent="0.35">
      <c r="A28" s="6" t="s">
        <v>17</v>
      </c>
      <c r="B28" s="7"/>
      <c r="C28" s="23">
        <f>C16+B30</f>
        <v>7569722.9600000009</v>
      </c>
      <c r="E28" s="1"/>
      <c r="F28" s="1"/>
      <c r="H28" s="22"/>
    </row>
    <row r="29" spans="1:8" ht="15.6" thickTop="1" x14ac:dyDescent="0.25">
      <c r="A29" s="1"/>
      <c r="B29" s="1"/>
      <c r="C29" s="1"/>
      <c r="D29" s="1"/>
      <c r="E29" s="1"/>
      <c r="F29" s="1"/>
    </row>
    <row r="30" spans="1:8" ht="16.2" thickBot="1" x14ac:dyDescent="0.35">
      <c r="A30" s="24" t="s">
        <v>18</v>
      </c>
      <c r="B30" s="25">
        <f>C22+C26</f>
        <v>3388858.0800000005</v>
      </c>
      <c r="C30" s="26"/>
      <c r="D30" s="27"/>
      <c r="E30" s="26"/>
      <c r="F30" s="26"/>
    </row>
    <row r="31" spans="1:8" ht="16.2" thickTop="1" x14ac:dyDescent="0.3">
      <c r="A31" s="24"/>
      <c r="B31" s="10"/>
      <c r="C31" s="26"/>
      <c r="D31" s="27"/>
      <c r="E31" s="26"/>
      <c r="F31" s="26"/>
    </row>
    <row r="32" spans="1:8" ht="5.25" customHeight="1" x14ac:dyDescent="0.3">
      <c r="A32" s="24"/>
      <c r="B32" s="10"/>
      <c r="C32" s="26"/>
      <c r="D32" s="27"/>
      <c r="E32" s="26"/>
      <c r="F32" s="26"/>
    </row>
    <row r="33" spans="1:6" ht="15.6" x14ac:dyDescent="0.3">
      <c r="A33" s="28" t="s">
        <v>101</v>
      </c>
      <c r="B33" s="1"/>
      <c r="C33" s="1"/>
      <c r="D33" s="1"/>
      <c r="E33" s="1"/>
      <c r="F33" s="1"/>
    </row>
    <row r="34" spans="1:6" ht="15.6" x14ac:dyDescent="0.3">
      <c r="A34" s="29" t="s">
        <v>99</v>
      </c>
      <c r="B34" s="1"/>
      <c r="C34" s="1"/>
      <c r="D34" s="1"/>
      <c r="E34" s="1"/>
      <c r="F34" s="1"/>
    </row>
    <row r="35" spans="1:6" ht="15.6" x14ac:dyDescent="0.3">
      <c r="A35" s="6" t="s">
        <v>100</v>
      </c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ht="15.6" x14ac:dyDescent="0.3">
      <c r="A37" s="6" t="s">
        <v>22</v>
      </c>
      <c r="B37" s="1"/>
      <c r="C37" s="1"/>
      <c r="D37" s="1"/>
      <c r="E37" s="1"/>
      <c r="F37" s="1"/>
    </row>
    <row r="38" spans="1:6" ht="15.6" x14ac:dyDescent="0.3">
      <c r="A38" s="6" t="s">
        <v>25</v>
      </c>
      <c r="B38" s="7">
        <f>20948.67+12432.56+347798.01</f>
        <v>381179.24</v>
      </c>
      <c r="C38" s="10"/>
      <c r="D38" s="1"/>
      <c r="E38" s="1"/>
      <c r="F38" s="1"/>
    </row>
    <row r="39" spans="1:6" ht="15.6" x14ac:dyDescent="0.3">
      <c r="A39" s="6" t="s">
        <v>26</v>
      </c>
      <c r="B39" s="7">
        <f>113322.3-107175.75</f>
        <v>6146.5500000000029</v>
      </c>
      <c r="C39" s="10"/>
      <c r="D39" s="1"/>
      <c r="E39" s="1"/>
      <c r="F39" s="1"/>
    </row>
    <row r="40" spans="1:6" ht="15.6" x14ac:dyDescent="0.3">
      <c r="A40" s="6" t="s">
        <v>73</v>
      </c>
      <c r="B40" s="7">
        <v>157343.14000000001</v>
      </c>
      <c r="C40" s="10"/>
      <c r="D40" s="1"/>
      <c r="E40" s="1"/>
      <c r="F40" s="1"/>
    </row>
    <row r="41" spans="1:6" ht="15.6" thickBot="1" x14ac:dyDescent="0.3">
      <c r="A41" s="1"/>
      <c r="B41" s="30">
        <f>SUM(B38:B40)</f>
        <v>544668.92999999993</v>
      </c>
      <c r="C41" s="31"/>
      <c r="D41" s="1"/>
      <c r="E41" s="1"/>
      <c r="F41" s="1"/>
    </row>
    <row r="42" spans="1:6" ht="15.6" thickTop="1" x14ac:dyDescent="0.25">
      <c r="A42" s="1"/>
      <c r="B42" s="1"/>
      <c r="C42" s="32"/>
      <c r="D42" s="1"/>
      <c r="E42" s="1"/>
      <c r="F42" s="1"/>
    </row>
  </sheetData>
  <mergeCells count="3">
    <mergeCell ref="A1:D1"/>
    <mergeCell ref="A2:D2"/>
    <mergeCell ref="A3:D3"/>
  </mergeCells>
  <pageMargins left="0.45" right="0.2" top="0.75" bottom="0.75" header="0.3" footer="0.3"/>
  <pageSetup scale="8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5"/>
  <sheetViews>
    <sheetView workbookViewId="0">
      <selection activeCell="A3" sqref="A3:D3"/>
    </sheetView>
  </sheetViews>
  <sheetFormatPr defaultRowHeight="14.4" x14ac:dyDescent="0.3"/>
  <cols>
    <col min="1" max="1" width="26.33203125" customWidth="1"/>
    <col min="2" max="2" width="14.6640625" bestFit="1" customWidth="1"/>
    <col min="6" max="6" width="11.88671875" customWidth="1"/>
  </cols>
  <sheetData>
    <row r="1" spans="1:4" x14ac:dyDescent="0.3">
      <c r="A1" s="33" t="s">
        <v>98</v>
      </c>
    </row>
    <row r="2" spans="1:4" x14ac:dyDescent="0.3">
      <c r="A2" t="s">
        <v>29</v>
      </c>
      <c r="B2" s="34">
        <v>3212329.06</v>
      </c>
    </row>
    <row r="3" spans="1:4" x14ac:dyDescent="0.3">
      <c r="A3" t="s">
        <v>30</v>
      </c>
      <c r="B3" s="35">
        <v>0</v>
      </c>
    </row>
    <row r="4" spans="1:4" x14ac:dyDescent="0.3">
      <c r="A4" t="s">
        <v>31</v>
      </c>
      <c r="B4" s="34">
        <v>607669.48</v>
      </c>
    </row>
    <row r="5" spans="1:4" x14ac:dyDescent="0.3">
      <c r="A5" t="s">
        <v>32</v>
      </c>
      <c r="B5" s="34">
        <v>-621402.14</v>
      </c>
      <c r="D5" s="35"/>
    </row>
    <row r="6" spans="1:4" x14ac:dyDescent="0.3">
      <c r="A6" t="s">
        <v>33</v>
      </c>
      <c r="B6" s="34">
        <v>581558.06000000006</v>
      </c>
      <c r="C6" t="s">
        <v>92</v>
      </c>
    </row>
    <row r="7" spans="1:4" x14ac:dyDescent="0.3">
      <c r="A7" t="s">
        <v>35</v>
      </c>
      <c r="B7" s="34">
        <f>-427679.31+32783.42</f>
        <v>-394895.89</v>
      </c>
    </row>
    <row r="8" spans="1:4" x14ac:dyDescent="0.3">
      <c r="A8" t="s">
        <v>91</v>
      </c>
      <c r="B8" s="34"/>
      <c r="C8" t="s">
        <v>93</v>
      </c>
    </row>
    <row r="9" spans="1:4" x14ac:dyDescent="0.3">
      <c r="A9" t="s">
        <v>36</v>
      </c>
      <c r="B9" s="36">
        <v>322296.23</v>
      </c>
      <c r="C9" t="s">
        <v>37</v>
      </c>
    </row>
    <row r="10" spans="1:4" x14ac:dyDescent="0.3">
      <c r="A10" t="s">
        <v>38</v>
      </c>
      <c r="B10" s="34">
        <v>-319010.21999999997</v>
      </c>
    </row>
    <row r="11" spans="1:4" x14ac:dyDescent="0.3">
      <c r="A11" t="s">
        <v>39</v>
      </c>
      <c r="B11" s="34">
        <v>313.5</v>
      </c>
    </row>
    <row r="12" spans="1:4" x14ac:dyDescent="0.3">
      <c r="A12" t="s">
        <v>40</v>
      </c>
      <c r="B12" s="34">
        <v>0</v>
      </c>
      <c r="C12" t="s">
        <v>63</v>
      </c>
    </row>
    <row r="13" spans="1:4" x14ac:dyDescent="0.3">
      <c r="A13" t="s">
        <v>16</v>
      </c>
      <c r="B13" s="34">
        <v>0</v>
      </c>
    </row>
    <row r="14" spans="1:4" x14ac:dyDescent="0.3">
      <c r="A14" t="s">
        <v>42</v>
      </c>
      <c r="B14" s="34"/>
    </row>
    <row r="15" spans="1:4" x14ac:dyDescent="0.3">
      <c r="A15" t="s">
        <v>57</v>
      </c>
      <c r="B15" s="34"/>
    </row>
    <row r="16" spans="1:4" x14ac:dyDescent="0.3">
      <c r="A16" t="s">
        <v>43</v>
      </c>
      <c r="B16" s="37">
        <f>SUM(B2:B15)</f>
        <v>3388858.08</v>
      </c>
    </row>
    <row r="17" spans="1:10" x14ac:dyDescent="0.3">
      <c r="A17" t="s">
        <v>44</v>
      </c>
      <c r="B17" s="34">
        <v>-3388858.08</v>
      </c>
    </row>
    <row r="18" spans="1:10" ht="15" thickBot="1" x14ac:dyDescent="0.35">
      <c r="A18" t="s">
        <v>45</v>
      </c>
      <c r="B18" s="38">
        <f>SUM(B16:B17)</f>
        <v>0</v>
      </c>
    </row>
    <row r="19" spans="1:10" ht="15" thickTop="1" x14ac:dyDescent="0.3">
      <c r="B19" s="39"/>
    </row>
    <row r="20" spans="1:10" x14ac:dyDescent="0.3">
      <c r="A20" t="s">
        <v>29</v>
      </c>
      <c r="B20" s="35">
        <v>4195032.9800000004</v>
      </c>
    </row>
    <row r="21" spans="1:10" x14ac:dyDescent="0.3">
      <c r="A21" t="s">
        <v>56</v>
      </c>
      <c r="B21" s="34">
        <v>852.38</v>
      </c>
    </row>
    <row r="22" spans="1:10" x14ac:dyDescent="0.3">
      <c r="A22" t="s">
        <v>72</v>
      </c>
      <c r="B22" s="34">
        <v>13000</v>
      </c>
      <c r="C22" t="s">
        <v>96</v>
      </c>
    </row>
    <row r="23" spans="1:10" x14ac:dyDescent="0.3">
      <c r="A23" t="s">
        <v>46</v>
      </c>
      <c r="B23" s="34">
        <f>-5195.03-32783.42</f>
        <v>-37978.449999999997</v>
      </c>
      <c r="C23" t="s">
        <v>97</v>
      </c>
      <c r="J23" t="s">
        <v>47</v>
      </c>
    </row>
    <row r="24" spans="1:10" x14ac:dyDescent="0.3">
      <c r="A24" t="s">
        <v>33</v>
      </c>
      <c r="B24" s="34"/>
    </row>
    <row r="25" spans="1:10" x14ac:dyDescent="0.3">
      <c r="A25" t="s">
        <v>39</v>
      </c>
      <c r="B25" s="34"/>
    </row>
    <row r="26" spans="1:10" x14ac:dyDescent="0.3">
      <c r="A26" t="s">
        <v>40</v>
      </c>
      <c r="B26" s="34"/>
    </row>
    <row r="27" spans="1:10" x14ac:dyDescent="0.3">
      <c r="A27" t="s">
        <v>48</v>
      </c>
      <c r="B27" s="34">
        <v>30596.53</v>
      </c>
    </row>
    <row r="28" spans="1:10" x14ac:dyDescent="0.3">
      <c r="A28" t="s">
        <v>42</v>
      </c>
      <c r="B28" s="34">
        <v>-13000</v>
      </c>
    </row>
    <row r="29" spans="1:10" x14ac:dyDescent="0.3">
      <c r="A29" t="s">
        <v>49</v>
      </c>
      <c r="B29" s="34">
        <v>41.35</v>
      </c>
    </row>
    <row r="30" spans="1:10" x14ac:dyDescent="0.3">
      <c r="A30" t="s">
        <v>50</v>
      </c>
      <c r="B30" s="34">
        <f>-7776.7+96.79</f>
        <v>-7679.91</v>
      </c>
      <c r="C30" t="s">
        <v>90</v>
      </c>
      <c r="G30" t="s">
        <v>94</v>
      </c>
    </row>
    <row r="31" spans="1:10" x14ac:dyDescent="0.3">
      <c r="A31" t="s">
        <v>57</v>
      </c>
      <c r="B31" s="34"/>
    </row>
    <row r="32" spans="1:10" x14ac:dyDescent="0.3">
      <c r="A32" t="s">
        <v>51</v>
      </c>
      <c r="B32" s="40">
        <f>SUM(B20:B31)</f>
        <v>4180864.8800000004</v>
      </c>
    </row>
    <row r="33" spans="1:2" x14ac:dyDescent="0.3">
      <c r="A33" t="s">
        <v>52</v>
      </c>
      <c r="B33" s="35">
        <v>-4180864.88</v>
      </c>
    </row>
    <row r="34" spans="1:2" ht="15" thickBot="1" x14ac:dyDescent="0.35">
      <c r="A34" t="s">
        <v>45</v>
      </c>
      <c r="B34" s="41">
        <f>SUM(B32:B33)</f>
        <v>0</v>
      </c>
    </row>
    <row r="35" spans="1:2" ht="15" thickTop="1" x14ac:dyDescent="0.3"/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transitionEvaluation="1" transitionEntry="1">
    <pageSetUpPr fitToPage="1"/>
  </sheetPr>
  <dimension ref="A1:H38"/>
  <sheetViews>
    <sheetView workbookViewId="0">
      <selection activeCell="A5" sqref="A5"/>
    </sheetView>
  </sheetViews>
  <sheetFormatPr defaultColWidth="9.109375" defaultRowHeight="13.2" x14ac:dyDescent="0.25"/>
  <cols>
    <col min="1" max="1" width="13.5546875" style="66" customWidth="1"/>
    <col min="2" max="2" width="14" style="66" bestFit="1" customWidth="1"/>
    <col min="3" max="3" width="2" style="66" customWidth="1"/>
    <col min="4" max="4" width="10.109375" style="66" customWidth="1"/>
    <col min="5" max="5" width="13.33203125" style="66" bestFit="1" customWidth="1"/>
    <col min="6" max="6" width="15.5546875" style="66" customWidth="1"/>
    <col min="7" max="7" width="14.6640625" style="66" customWidth="1"/>
    <col min="8" max="8" width="14.5546875" style="66" bestFit="1" customWidth="1"/>
    <col min="9" max="9" width="18.44140625" style="66" customWidth="1"/>
    <col min="10" max="16384" width="9.109375" style="66"/>
  </cols>
  <sheetData>
    <row r="1" spans="1:8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8" x14ac:dyDescent="0.25">
      <c r="A2" s="97" t="s">
        <v>172</v>
      </c>
      <c r="B2" s="97"/>
      <c r="C2" s="97"/>
      <c r="D2" s="97"/>
      <c r="E2" s="97"/>
      <c r="F2" s="97"/>
      <c r="G2" s="97"/>
      <c r="H2" s="97"/>
    </row>
    <row r="3" spans="1:8" x14ac:dyDescent="0.25">
      <c r="A3" s="97" t="s">
        <v>173</v>
      </c>
      <c r="B3" s="97"/>
      <c r="C3" s="97"/>
      <c r="D3" s="97"/>
      <c r="E3" s="97"/>
      <c r="F3" s="97"/>
      <c r="G3" s="97"/>
      <c r="H3" s="97"/>
    </row>
    <row r="4" spans="1:8" x14ac:dyDescent="0.25">
      <c r="A4" s="97" t="s">
        <v>207</v>
      </c>
      <c r="B4" s="97"/>
      <c r="C4" s="97"/>
      <c r="D4" s="97"/>
      <c r="E4" s="97"/>
      <c r="F4" s="97"/>
      <c r="G4" s="97"/>
      <c r="H4" s="97"/>
    </row>
    <row r="5" spans="1:8" x14ac:dyDescent="0.25">
      <c r="A5" s="67"/>
      <c r="B5" s="67"/>
      <c r="C5" s="67"/>
      <c r="D5" s="67"/>
      <c r="E5" s="67"/>
      <c r="F5" s="67"/>
      <c r="G5" s="67"/>
      <c r="H5" s="67"/>
    </row>
    <row r="6" spans="1:8" x14ac:dyDescent="0.25">
      <c r="A6" s="67"/>
      <c r="B6" s="67"/>
      <c r="C6" s="67"/>
      <c r="D6" s="67"/>
      <c r="E6" s="67"/>
      <c r="F6" s="67"/>
      <c r="G6" s="67"/>
      <c r="H6" s="67"/>
    </row>
    <row r="7" spans="1:8" x14ac:dyDescent="0.25">
      <c r="A7" s="67"/>
      <c r="B7" s="67"/>
      <c r="C7" s="67"/>
      <c r="D7" s="67"/>
      <c r="E7" s="67"/>
      <c r="F7" s="67"/>
      <c r="G7" s="67"/>
      <c r="H7" s="67"/>
    </row>
    <row r="8" spans="1:8" x14ac:dyDescent="0.25">
      <c r="A8" s="68" t="s">
        <v>174</v>
      </c>
      <c r="B8" s="67"/>
      <c r="C8" s="67"/>
      <c r="D8" s="67"/>
      <c r="E8" s="67"/>
      <c r="F8" s="67"/>
      <c r="G8" s="69">
        <v>1148719.21</v>
      </c>
      <c r="H8" s="67"/>
    </row>
    <row r="9" spans="1:8" x14ac:dyDescent="0.25">
      <c r="A9" s="67"/>
      <c r="B9" s="67"/>
      <c r="C9" s="67"/>
      <c r="D9" s="67"/>
      <c r="E9" s="67"/>
      <c r="F9" s="67"/>
      <c r="G9" s="67"/>
      <c r="H9" s="67"/>
    </row>
    <row r="10" spans="1:8" x14ac:dyDescent="0.25">
      <c r="A10" s="68" t="s">
        <v>175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/>
      <c r="B11" s="95" t="s">
        <v>206</v>
      </c>
      <c r="C11" s="67"/>
      <c r="D11" s="95"/>
      <c r="E11" s="67"/>
      <c r="F11" s="67"/>
      <c r="G11" s="71">
        <v>7776.7</v>
      </c>
      <c r="H11" s="67"/>
    </row>
    <row r="12" spans="1:8" x14ac:dyDescent="0.25">
      <c r="A12" s="67"/>
      <c r="B12" s="67"/>
      <c r="C12" s="67"/>
      <c r="D12" s="67"/>
      <c r="E12" s="67"/>
      <c r="F12" s="67"/>
      <c r="G12" s="67"/>
      <c r="H12" s="67"/>
    </row>
    <row r="13" spans="1:8" x14ac:dyDescent="0.25">
      <c r="A13" s="67"/>
      <c r="B13" s="67"/>
      <c r="C13" s="67"/>
      <c r="D13" s="67"/>
      <c r="E13" s="67"/>
      <c r="F13" s="67"/>
      <c r="G13" s="67"/>
      <c r="H13" s="67"/>
    </row>
    <row r="14" spans="1:8" x14ac:dyDescent="0.25">
      <c r="A14" s="68" t="s">
        <v>176</v>
      </c>
      <c r="B14" s="67"/>
      <c r="C14" s="67"/>
      <c r="D14" s="67"/>
      <c r="E14" s="67"/>
      <c r="F14" s="67"/>
      <c r="G14" s="67"/>
      <c r="H14" s="67"/>
    </row>
    <row r="15" spans="1:8" x14ac:dyDescent="0.25">
      <c r="A15" s="70"/>
      <c r="B15" s="72"/>
      <c r="C15" s="67"/>
      <c r="D15" s="67"/>
      <c r="E15" s="69"/>
      <c r="F15" s="67"/>
      <c r="G15" s="67"/>
      <c r="H15" s="67"/>
    </row>
    <row r="16" spans="1:8" x14ac:dyDescent="0.25">
      <c r="A16" s="67"/>
      <c r="B16" s="72"/>
      <c r="C16" s="67"/>
      <c r="D16" s="67"/>
      <c r="E16" s="69"/>
      <c r="F16" s="67"/>
      <c r="G16" s="67"/>
      <c r="H16" s="67"/>
    </row>
    <row r="17" spans="1:8" x14ac:dyDescent="0.25">
      <c r="A17" s="73"/>
      <c r="B17" s="72"/>
      <c r="C17" s="73"/>
      <c r="D17" s="73"/>
      <c r="E17" s="69"/>
      <c r="F17" s="73"/>
      <c r="G17" s="73"/>
      <c r="H17" s="73"/>
    </row>
    <row r="18" spans="1:8" x14ac:dyDescent="0.25">
      <c r="A18" s="91"/>
      <c r="B18" s="72"/>
      <c r="C18" s="73"/>
      <c r="D18" s="73"/>
      <c r="E18" s="69"/>
      <c r="F18" s="73"/>
      <c r="G18" s="74"/>
      <c r="H18" s="73"/>
    </row>
    <row r="19" spans="1:8" x14ac:dyDescent="0.25">
      <c r="A19" s="73"/>
      <c r="B19" s="72"/>
      <c r="C19" s="73"/>
      <c r="D19" s="73"/>
      <c r="E19" s="73"/>
      <c r="F19" s="73"/>
      <c r="G19" s="73"/>
      <c r="H19" s="73"/>
    </row>
    <row r="20" spans="1:8" ht="13.8" thickBot="1" x14ac:dyDescent="0.3">
      <c r="A20" s="75" t="s">
        <v>177</v>
      </c>
      <c r="B20" s="72"/>
      <c r="C20" s="73"/>
      <c r="D20" s="73"/>
      <c r="E20" s="73"/>
      <c r="F20" s="73"/>
      <c r="G20" s="76">
        <f>SUM(G8:G19)</f>
        <v>1156495.9099999999</v>
      </c>
      <c r="H20" s="73"/>
    </row>
    <row r="21" spans="1:8" ht="13.8" thickTop="1" x14ac:dyDescent="0.25">
      <c r="A21" s="73"/>
      <c r="B21" s="69"/>
      <c r="C21" s="73"/>
      <c r="D21" s="73"/>
      <c r="E21" s="73"/>
      <c r="F21" s="73"/>
      <c r="G21" s="73"/>
      <c r="H21" s="73"/>
    </row>
    <row r="22" spans="1:8" x14ac:dyDescent="0.25">
      <c r="A22" s="75" t="s">
        <v>178</v>
      </c>
      <c r="B22" s="69"/>
      <c r="C22" s="73"/>
      <c r="D22" s="73"/>
      <c r="E22" s="73"/>
      <c r="F22" s="73"/>
      <c r="G22" s="69">
        <v>1156495.9099999999</v>
      </c>
      <c r="H22" s="73"/>
    </row>
    <row r="23" spans="1:8" x14ac:dyDescent="0.25">
      <c r="A23" s="75" t="s">
        <v>179</v>
      </c>
      <c r="B23" s="73"/>
      <c r="C23" s="73"/>
      <c r="D23" s="73"/>
      <c r="E23" s="73"/>
      <c r="F23" s="73"/>
      <c r="G23" s="69"/>
      <c r="H23" s="73"/>
    </row>
    <row r="24" spans="1:8" x14ac:dyDescent="0.25">
      <c r="A24" s="73"/>
      <c r="B24" s="73"/>
      <c r="C24" s="73"/>
      <c r="D24" s="73"/>
      <c r="E24" s="73"/>
      <c r="F24" s="73"/>
      <c r="G24" s="73"/>
      <c r="H24" s="73"/>
    </row>
    <row r="25" spans="1:8" x14ac:dyDescent="0.25">
      <c r="A25" s="73"/>
      <c r="B25" s="73"/>
      <c r="C25" s="73"/>
      <c r="D25" s="73"/>
      <c r="E25" s="73"/>
      <c r="F25" s="73"/>
      <c r="G25" s="73"/>
      <c r="H25" s="73"/>
    </row>
    <row r="26" spans="1:8" ht="13.8" thickBot="1" x14ac:dyDescent="0.3">
      <c r="A26" s="75" t="s">
        <v>180</v>
      </c>
      <c r="B26" s="73"/>
      <c r="C26" s="73"/>
      <c r="D26" s="73"/>
      <c r="E26" s="73"/>
      <c r="F26" s="73"/>
      <c r="G26" s="77">
        <f>SUM(G22:G25)</f>
        <v>1156495.9099999999</v>
      </c>
      <c r="H26" s="73"/>
    </row>
    <row r="27" spans="1:8" ht="15" thickTop="1" x14ac:dyDescent="0.3">
      <c r="A27" s="73"/>
      <c r="B27" s="73"/>
      <c r="C27" s="73"/>
      <c r="D27" s="73"/>
      <c r="E27" s="73"/>
      <c r="F27" s="73"/>
      <c r="G27" s="78"/>
      <c r="H27" s="73"/>
    </row>
    <row r="28" spans="1:8" x14ac:dyDescent="0.25">
      <c r="A28" s="75" t="s">
        <v>181</v>
      </c>
      <c r="B28" s="73"/>
      <c r="C28" s="73"/>
      <c r="D28" s="73"/>
      <c r="E28" s="73"/>
      <c r="F28" s="73"/>
      <c r="G28" s="79">
        <f>G20-G26</f>
        <v>0</v>
      </c>
      <c r="H28" s="73"/>
    </row>
    <row r="29" spans="1:8" x14ac:dyDescent="0.25">
      <c r="A29" s="73"/>
      <c r="B29" s="73"/>
      <c r="C29" s="73"/>
      <c r="D29" s="73"/>
      <c r="E29" s="73"/>
      <c r="F29" s="73"/>
      <c r="G29" s="73"/>
      <c r="H29" s="73"/>
    </row>
    <row r="30" spans="1:8" ht="11.25" customHeight="1" x14ac:dyDescent="0.25">
      <c r="A30" s="73"/>
      <c r="B30" s="73"/>
      <c r="C30" s="73"/>
      <c r="D30" s="73"/>
      <c r="E30" s="73"/>
      <c r="F30" s="73"/>
      <c r="G30" s="73"/>
      <c r="H30" s="73"/>
    </row>
    <row r="31" spans="1:8" x14ac:dyDescent="0.25">
      <c r="A31" s="80" t="s">
        <v>182</v>
      </c>
      <c r="B31" s="80"/>
      <c r="C31" s="80"/>
      <c r="D31" s="92"/>
      <c r="E31" s="80"/>
      <c r="F31" s="80"/>
      <c r="G31" s="80"/>
      <c r="H31" s="80"/>
    </row>
    <row r="32" spans="1:8" ht="14.4" x14ac:dyDescent="0.3">
      <c r="A32" s="80" t="s">
        <v>183</v>
      </c>
      <c r="B32" s="94">
        <f>1014869.83+290.6+313.54+284.82+266.51+283.15+266.5+275.65</f>
        <v>1016850.6</v>
      </c>
      <c r="C32" s="80"/>
      <c r="D32" s="82">
        <f>B32/B34</f>
        <v>0.879251358528367</v>
      </c>
      <c r="E32" s="69">
        <f>D32*0</f>
        <v>0</v>
      </c>
      <c r="F32" s="80"/>
      <c r="G32" s="80"/>
      <c r="H32" s="80"/>
    </row>
    <row r="33" spans="1:8" ht="14.4" x14ac:dyDescent="0.3">
      <c r="A33" s="80" t="s">
        <v>145</v>
      </c>
      <c r="B33" s="94">
        <f>564104.69+161.52-78.5-225000+104.76+94.94+88.84+94.61-200000+36.6+37.85</f>
        <v>139645.31</v>
      </c>
      <c r="C33" s="80" t="s">
        <v>184</v>
      </c>
      <c r="D33" s="82">
        <f>B33/B34</f>
        <v>0.12074864147163306</v>
      </c>
      <c r="E33" s="69">
        <f>-E32+0</f>
        <v>0</v>
      </c>
      <c r="F33" s="83" t="s">
        <v>198</v>
      </c>
      <c r="G33" s="84">
        <f>E33*1</f>
        <v>0</v>
      </c>
      <c r="H33" s="80"/>
    </row>
    <row r="34" spans="1:8" ht="15" thickBot="1" x14ac:dyDescent="0.35">
      <c r="A34" s="80"/>
      <c r="B34" s="93">
        <f>SUM(B32:B33)</f>
        <v>1156495.9099999999</v>
      </c>
      <c r="C34" s="80"/>
      <c r="D34" s="86">
        <f>SUM(D32:D33)</f>
        <v>1</v>
      </c>
      <c r="E34" s="87"/>
      <c r="F34" s="83" t="s">
        <v>199</v>
      </c>
      <c r="G34" s="84">
        <f>E33*0</f>
        <v>0</v>
      </c>
      <c r="H34" s="80"/>
    </row>
    <row r="35" spans="1:8" ht="13.8" thickTop="1" x14ac:dyDescent="0.25">
      <c r="A35" s="80"/>
      <c r="B35" s="80"/>
      <c r="C35" s="80"/>
      <c r="D35" s="80"/>
      <c r="E35" s="80"/>
      <c r="F35" s="88"/>
      <c r="G35" s="80"/>
      <c r="H35" s="80"/>
    </row>
    <row r="36" spans="1:8" x14ac:dyDescent="0.25">
      <c r="A36" s="83" t="s">
        <v>187</v>
      </c>
      <c r="B36" s="80"/>
      <c r="C36" s="80"/>
      <c r="D36" s="80"/>
      <c r="E36" s="80"/>
      <c r="F36" s="80"/>
      <c r="G36" s="80"/>
      <c r="H36" s="80"/>
    </row>
    <row r="38" spans="1:8" ht="14.4" x14ac:dyDescent="0.3">
      <c r="A38" s="89">
        <v>0</v>
      </c>
      <c r="B38" s="90">
        <f>A38/B33</f>
        <v>0</v>
      </c>
    </row>
  </sheetData>
  <mergeCells count="4">
    <mergeCell ref="A1:H1"/>
    <mergeCell ref="A2:H2"/>
    <mergeCell ref="A3:H3"/>
    <mergeCell ref="A4:H4"/>
  </mergeCells>
  <pageMargins left="0.54" right="0.45" top="0.52" bottom="0.48" header="0.37" footer="0.22"/>
  <pageSetup scale="9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2"/>
  <sheetViews>
    <sheetView zoomScaleNormal="100" workbookViewId="0">
      <selection activeCell="A3" sqref="A3:D3"/>
    </sheetView>
  </sheetViews>
  <sheetFormatPr defaultColWidth="9.109375" defaultRowHeight="15" x14ac:dyDescent="0.25"/>
  <cols>
    <col min="1" max="1" width="49.44140625" style="2" bestFit="1" customWidth="1"/>
    <col min="2" max="4" width="19.109375" style="2" customWidth="1"/>
    <col min="5" max="5" width="5.88671875" style="2" customWidth="1"/>
    <col min="6" max="7" width="9.109375" style="2"/>
    <col min="8" max="8" width="15.6640625" style="2" customWidth="1"/>
    <col min="9" max="9" width="3.5546875" style="2" customWidth="1"/>
    <col min="10" max="10" width="15.109375" style="2" bestFit="1" customWidth="1"/>
    <col min="11" max="16384" width="9.109375" style="2"/>
  </cols>
  <sheetData>
    <row r="1" spans="1:10" ht="15.6" x14ac:dyDescent="0.3">
      <c r="A1" s="96" t="s">
        <v>0</v>
      </c>
      <c r="B1" s="96"/>
      <c r="C1" s="96"/>
      <c r="D1" s="96"/>
      <c r="E1" s="1"/>
      <c r="F1" s="1"/>
    </row>
    <row r="2" spans="1:10" ht="15.6" x14ac:dyDescent="0.3">
      <c r="A2" s="96" t="s">
        <v>1</v>
      </c>
      <c r="B2" s="96"/>
      <c r="C2" s="96"/>
      <c r="D2" s="96"/>
      <c r="E2" s="1"/>
      <c r="F2" s="1"/>
    </row>
    <row r="3" spans="1:10" ht="15.6" x14ac:dyDescent="0.3">
      <c r="A3" s="96" t="s">
        <v>128</v>
      </c>
      <c r="B3" s="96"/>
      <c r="C3" s="96"/>
      <c r="D3" s="96"/>
      <c r="E3" s="1"/>
      <c r="F3" s="1"/>
    </row>
    <row r="4" spans="1:10" ht="15.6" x14ac:dyDescent="0.3">
      <c r="A4" s="57"/>
      <c r="B4" s="57"/>
      <c r="C4" s="57"/>
      <c r="D4" s="57"/>
      <c r="E4" s="1"/>
      <c r="F4" s="1"/>
    </row>
    <row r="5" spans="1:10" ht="15.6" x14ac:dyDescent="0.3">
      <c r="A5" s="57"/>
      <c r="B5" s="57"/>
      <c r="C5" s="57"/>
      <c r="D5" s="57"/>
      <c r="E5" s="1"/>
      <c r="F5" s="1"/>
    </row>
    <row r="6" spans="1:10" x14ac:dyDescent="0.25">
      <c r="A6" s="1"/>
      <c r="B6" s="1"/>
      <c r="C6" s="1"/>
      <c r="D6" s="4"/>
      <c r="E6" s="1"/>
      <c r="F6" s="1"/>
    </row>
    <row r="7" spans="1:10" x14ac:dyDescent="0.25">
      <c r="A7" s="1"/>
      <c r="B7" s="1"/>
      <c r="C7" s="1"/>
      <c r="D7" s="1"/>
      <c r="E7" s="1"/>
      <c r="F7" s="1"/>
      <c r="G7" s="5"/>
      <c r="H7" s="5"/>
      <c r="I7" s="5"/>
      <c r="J7" s="5"/>
    </row>
    <row r="8" spans="1:10" ht="15.6" x14ac:dyDescent="0.3">
      <c r="A8" s="6"/>
      <c r="B8" s="7"/>
      <c r="C8" s="7"/>
      <c r="D8" s="8"/>
      <c r="E8" s="1"/>
      <c r="F8" s="1"/>
      <c r="G8" s="5"/>
      <c r="H8" s="9"/>
      <c r="I8" s="5"/>
      <c r="J8" s="9"/>
    </row>
    <row r="9" spans="1:10" ht="15.6" x14ac:dyDescent="0.3">
      <c r="A9" s="6" t="s">
        <v>3</v>
      </c>
      <c r="B9" s="7">
        <v>473292.82</v>
      </c>
      <c r="C9" s="7"/>
      <c r="D9" s="8"/>
      <c r="E9" s="1"/>
      <c r="F9" s="1"/>
      <c r="G9" s="5"/>
      <c r="H9" s="9"/>
      <c r="I9" s="5"/>
      <c r="J9" s="9"/>
    </row>
    <row r="10" spans="1:10" ht="15.6" x14ac:dyDescent="0.3">
      <c r="A10" s="6" t="s">
        <v>110</v>
      </c>
      <c r="B10" s="10">
        <f>211446.28-24779.88+78.5-111574.11-91733.52+58333.33-161400.29-115889.95+5967.94-32783.42-21270.42-422010.42-15217.38-658.38+504110.83-401563.36+730.05-24342.39-21808.18</f>
        <v>-664364.77</v>
      </c>
      <c r="C10" s="10"/>
      <c r="D10" s="8"/>
      <c r="E10" s="1"/>
      <c r="F10" s="1"/>
      <c r="G10" s="5"/>
      <c r="H10" s="9"/>
      <c r="I10" s="5"/>
      <c r="J10" s="9"/>
    </row>
    <row r="11" spans="1:10" ht="15.6" x14ac:dyDescent="0.3">
      <c r="A11" s="6" t="s">
        <v>5</v>
      </c>
      <c r="B11" s="10">
        <v>0</v>
      </c>
      <c r="C11" s="11"/>
      <c r="D11" s="8"/>
      <c r="E11" s="1"/>
      <c r="F11" s="1"/>
      <c r="H11" s="12"/>
    </row>
    <row r="12" spans="1:10" ht="15.6" x14ac:dyDescent="0.3">
      <c r="A12" s="6" t="s">
        <v>6</v>
      </c>
      <c r="B12" s="10">
        <v>0</v>
      </c>
      <c r="C12" s="11"/>
      <c r="D12" s="8"/>
      <c r="E12" s="1"/>
      <c r="F12" s="1"/>
      <c r="H12" s="12"/>
    </row>
    <row r="13" spans="1:10" ht="15.6" hidden="1" x14ac:dyDescent="0.3">
      <c r="A13" s="6" t="s">
        <v>7</v>
      </c>
      <c r="B13" s="10">
        <v>0</v>
      </c>
      <c r="C13" s="11"/>
      <c r="D13" s="8"/>
      <c r="E13" s="1"/>
      <c r="F13" s="1"/>
      <c r="H13" s="12"/>
    </row>
    <row r="14" spans="1:10" ht="15.6" hidden="1" x14ac:dyDescent="0.3">
      <c r="A14" s="6" t="s">
        <v>8</v>
      </c>
      <c r="B14" s="10">
        <v>0</v>
      </c>
      <c r="C14" s="11"/>
      <c r="D14" s="8"/>
      <c r="E14" s="1"/>
      <c r="F14" s="1"/>
      <c r="H14" s="12"/>
    </row>
    <row r="15" spans="1:10" ht="15.6" x14ac:dyDescent="0.3">
      <c r="A15" s="6" t="s">
        <v>55</v>
      </c>
      <c r="B15" s="13">
        <v>4015.15</v>
      </c>
      <c r="C15" s="14"/>
      <c r="D15" s="8"/>
      <c r="E15" s="1"/>
      <c r="F15" s="1"/>
      <c r="H15" s="12"/>
    </row>
    <row r="16" spans="1:10" ht="15.6" x14ac:dyDescent="0.3">
      <c r="A16" s="15" t="s">
        <v>9</v>
      </c>
      <c r="B16" s="7"/>
      <c r="C16" s="7">
        <f>SUM(B8:B15)</f>
        <v>-187056.80000000002</v>
      </c>
      <c r="D16" s="8"/>
      <c r="E16" s="1"/>
      <c r="F16" s="1"/>
      <c r="G16" s="5"/>
      <c r="H16" s="16"/>
      <c r="I16" s="17"/>
      <c r="J16" s="16"/>
    </row>
    <row r="17" spans="1:8" x14ac:dyDescent="0.25">
      <c r="A17" s="1"/>
      <c r="B17" s="7"/>
      <c r="C17" s="7"/>
      <c r="D17" s="8"/>
      <c r="E17" s="1"/>
      <c r="F17" s="1"/>
    </row>
    <row r="18" spans="1:8" ht="15.6" x14ac:dyDescent="0.3">
      <c r="A18" s="6" t="s">
        <v>10</v>
      </c>
      <c r="B18" s="18">
        <v>1332809.58</v>
      </c>
      <c r="C18" s="7"/>
      <c r="D18" s="8"/>
      <c r="E18" s="1"/>
      <c r="F18" s="1"/>
      <c r="H18" s="12"/>
    </row>
    <row r="19" spans="1:8" ht="15.6" x14ac:dyDescent="0.3">
      <c r="A19" s="6" t="s">
        <v>11</v>
      </c>
      <c r="B19" s="7">
        <f>-+B10+1039062.47</f>
        <v>1703427.24</v>
      </c>
      <c r="C19" s="10"/>
      <c r="D19" s="8"/>
      <c r="E19" s="1"/>
      <c r="F19" s="1"/>
      <c r="H19" s="12"/>
    </row>
    <row r="20" spans="1:8" ht="15.6" x14ac:dyDescent="0.3">
      <c r="A20" s="6" t="s">
        <v>12</v>
      </c>
      <c r="B20" s="7">
        <v>1158095.92</v>
      </c>
      <c r="C20" s="11"/>
      <c r="D20" s="8"/>
      <c r="E20" s="1"/>
      <c r="F20" s="1"/>
      <c r="H20" s="12"/>
    </row>
    <row r="21" spans="1:8" ht="15.6" x14ac:dyDescent="0.3">
      <c r="A21" s="6" t="s">
        <v>13</v>
      </c>
      <c r="B21" s="19">
        <f>2800+1665+11020.12</f>
        <v>15485.12</v>
      </c>
      <c r="C21" s="13"/>
      <c r="D21" s="8"/>
      <c r="E21" s="1"/>
      <c r="F21" s="1"/>
      <c r="H21" s="12"/>
    </row>
    <row r="22" spans="1:8" ht="15.6" x14ac:dyDescent="0.3">
      <c r="A22" s="6" t="s">
        <v>14</v>
      </c>
      <c r="B22" s="10"/>
      <c r="C22" s="10">
        <f>SUM(B18:B21)</f>
        <v>4209817.8600000003</v>
      </c>
      <c r="D22" s="8"/>
      <c r="E22" s="1"/>
      <c r="F22" s="1"/>
      <c r="H22" s="12"/>
    </row>
    <row r="23" spans="1:8" ht="6" customHeight="1" x14ac:dyDescent="0.3">
      <c r="A23" s="6"/>
      <c r="B23" s="10"/>
      <c r="C23" s="10"/>
      <c r="D23" s="8"/>
      <c r="E23" s="1"/>
      <c r="F23" s="1"/>
      <c r="H23" s="12"/>
    </row>
    <row r="24" spans="1:8" ht="15.6" x14ac:dyDescent="0.3">
      <c r="A24" s="6" t="s">
        <v>15</v>
      </c>
      <c r="B24" s="7"/>
      <c r="C24" s="20">
        <f>C16+C22</f>
        <v>4022761.0600000005</v>
      </c>
      <c r="D24" s="8"/>
      <c r="E24" s="1"/>
      <c r="F24" s="1"/>
      <c r="H24" s="12"/>
    </row>
    <row r="25" spans="1:8" ht="6" customHeight="1" x14ac:dyDescent="0.25">
      <c r="A25" s="1"/>
      <c r="B25" s="7"/>
      <c r="C25" s="7"/>
      <c r="D25" s="8"/>
      <c r="E25" s="1"/>
      <c r="F25" s="1"/>
    </row>
    <row r="26" spans="1:8" ht="15.6" x14ac:dyDescent="0.3">
      <c r="A26" s="6" t="s">
        <v>16</v>
      </c>
      <c r="B26" s="7"/>
      <c r="C26" s="10">
        <v>0</v>
      </c>
      <c r="D26" s="21"/>
      <c r="E26" s="1"/>
      <c r="F26" s="1"/>
      <c r="H26" s="22"/>
    </row>
    <row r="27" spans="1:8" ht="6" customHeight="1" x14ac:dyDescent="0.3">
      <c r="A27" s="6"/>
      <c r="B27" s="10"/>
      <c r="C27" s="10"/>
      <c r="D27" s="21"/>
      <c r="E27" s="1"/>
      <c r="F27" s="1"/>
      <c r="H27" s="22"/>
    </row>
    <row r="28" spans="1:8" ht="16.2" thickBot="1" x14ac:dyDescent="0.35">
      <c r="A28" s="6" t="s">
        <v>17</v>
      </c>
      <c r="B28" s="7"/>
      <c r="C28" s="23">
        <f>C16+B30</f>
        <v>4022761.0600000005</v>
      </c>
      <c r="E28" s="1"/>
      <c r="F28" s="1"/>
      <c r="H28" s="22"/>
    </row>
    <row r="29" spans="1:8" ht="15.6" thickTop="1" x14ac:dyDescent="0.25">
      <c r="A29" s="1"/>
      <c r="B29" s="1"/>
      <c r="C29" s="1"/>
      <c r="D29" s="1"/>
      <c r="E29" s="1"/>
      <c r="F29" s="1"/>
    </row>
    <row r="30" spans="1:8" ht="16.2" thickBot="1" x14ac:dyDescent="0.35">
      <c r="A30" s="24" t="s">
        <v>18</v>
      </c>
      <c r="B30" s="25">
        <f>C22+C26</f>
        <v>4209817.8600000003</v>
      </c>
      <c r="C30" s="26"/>
      <c r="D30" s="27"/>
      <c r="E30" s="26"/>
      <c r="F30" s="26"/>
    </row>
    <row r="31" spans="1:8" ht="16.2" thickTop="1" x14ac:dyDescent="0.3">
      <c r="A31" s="24"/>
      <c r="B31" s="10"/>
      <c r="C31" s="26"/>
      <c r="D31" s="27"/>
      <c r="E31" s="26"/>
      <c r="F31" s="26"/>
    </row>
    <row r="32" spans="1:8" ht="5.25" customHeight="1" x14ac:dyDescent="0.3">
      <c r="A32" s="24"/>
      <c r="B32" s="10"/>
      <c r="C32" s="26"/>
      <c r="D32" s="27"/>
      <c r="E32" s="26"/>
      <c r="F32" s="26"/>
    </row>
    <row r="33" spans="1:6" ht="15.6" x14ac:dyDescent="0.3">
      <c r="A33" s="28" t="s">
        <v>132</v>
      </c>
      <c r="B33" s="1"/>
      <c r="C33" s="1"/>
      <c r="D33" s="1"/>
      <c r="E33" s="1"/>
      <c r="F33" s="1"/>
    </row>
    <row r="34" spans="1:6" ht="15.6" x14ac:dyDescent="0.3">
      <c r="A34" s="29" t="s">
        <v>130</v>
      </c>
      <c r="B34" s="1"/>
      <c r="C34" s="1"/>
      <c r="D34" s="1"/>
      <c r="E34" s="1"/>
      <c r="F34" s="1"/>
    </row>
    <row r="35" spans="1:6" ht="15.6" x14ac:dyDescent="0.3">
      <c r="A35" s="6" t="s">
        <v>131</v>
      </c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ht="15.6" x14ac:dyDescent="0.3">
      <c r="A37" s="6" t="s">
        <v>22</v>
      </c>
      <c r="B37" s="1"/>
      <c r="C37" s="1"/>
      <c r="D37" s="1"/>
      <c r="E37" s="1"/>
      <c r="F37" s="1"/>
    </row>
    <row r="38" spans="1:6" ht="15.6" x14ac:dyDescent="0.3">
      <c r="A38" s="6" t="s">
        <v>25</v>
      </c>
      <c r="B38" s="7">
        <v>166500</v>
      </c>
      <c r="C38" s="10"/>
      <c r="D38" s="1"/>
      <c r="E38" s="1"/>
      <c r="F38" s="1"/>
    </row>
    <row r="39" spans="1:6" ht="15.6" hidden="1" x14ac:dyDescent="0.3">
      <c r="A39" s="6" t="s">
        <v>26</v>
      </c>
      <c r="B39" s="7"/>
      <c r="C39" s="10"/>
      <c r="D39" s="1"/>
      <c r="E39" s="1"/>
      <c r="F39" s="1"/>
    </row>
    <row r="40" spans="1:6" ht="15.6" thickBot="1" x14ac:dyDescent="0.3">
      <c r="A40" s="1"/>
      <c r="B40" s="30">
        <f>SUM(B38:B39)</f>
        <v>166500</v>
      </c>
      <c r="C40" s="31"/>
      <c r="D40" s="1"/>
      <c r="E40" s="1"/>
      <c r="F40" s="1"/>
    </row>
    <row r="41" spans="1:6" ht="15.6" thickTop="1" x14ac:dyDescent="0.25">
      <c r="A41" s="1"/>
      <c r="B41" s="1"/>
      <c r="C41" s="32"/>
      <c r="D41" s="1"/>
      <c r="E41" s="1"/>
      <c r="F41" s="1"/>
    </row>
    <row r="42" spans="1:6" ht="15.6" x14ac:dyDescent="0.3">
      <c r="A42" s="52" t="s">
        <v>111</v>
      </c>
    </row>
  </sheetData>
  <mergeCells count="3">
    <mergeCell ref="A1:D1"/>
    <mergeCell ref="A2:D2"/>
    <mergeCell ref="A3:D3"/>
  </mergeCells>
  <pageMargins left="0.45" right="0.2" top="0.75" bottom="0.75" header="0.3" footer="0.3"/>
  <pageSetup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42"/>
  <sheetViews>
    <sheetView zoomScaleNormal="100" workbookViewId="0">
      <selection activeCell="B12" sqref="B12"/>
    </sheetView>
  </sheetViews>
  <sheetFormatPr defaultColWidth="9.109375" defaultRowHeight="15" x14ac:dyDescent="0.25"/>
  <cols>
    <col min="1" max="1" width="49.44140625" style="2" bestFit="1" customWidth="1"/>
    <col min="2" max="4" width="19.109375" style="2" customWidth="1"/>
    <col min="5" max="5" width="5.88671875" style="2" customWidth="1"/>
    <col min="6" max="7" width="9.109375" style="2"/>
    <col min="8" max="8" width="15.6640625" style="2" customWidth="1"/>
    <col min="9" max="9" width="3.5546875" style="2" customWidth="1"/>
    <col min="10" max="10" width="15.109375" style="2" bestFit="1" customWidth="1"/>
    <col min="11" max="16384" width="9.109375" style="2"/>
  </cols>
  <sheetData>
    <row r="1" spans="1:10" ht="15.6" x14ac:dyDescent="0.3">
      <c r="A1" s="96" t="s">
        <v>0</v>
      </c>
      <c r="B1" s="96"/>
      <c r="C1" s="96"/>
      <c r="D1" s="96"/>
      <c r="E1" s="1"/>
      <c r="F1" s="1"/>
    </row>
    <row r="2" spans="1:10" ht="15.6" x14ac:dyDescent="0.3">
      <c r="A2" s="96" t="s">
        <v>1</v>
      </c>
      <c r="B2" s="96"/>
      <c r="C2" s="96"/>
      <c r="D2" s="96"/>
      <c r="E2" s="1"/>
      <c r="F2" s="1"/>
    </row>
    <row r="3" spans="1:10" ht="15.6" x14ac:dyDescent="0.3">
      <c r="A3" s="96" t="s">
        <v>85</v>
      </c>
      <c r="B3" s="96"/>
      <c r="C3" s="96"/>
      <c r="D3" s="96"/>
      <c r="E3" s="1"/>
      <c r="F3" s="1"/>
    </row>
    <row r="4" spans="1:10" ht="15.6" x14ac:dyDescent="0.3">
      <c r="A4" s="47"/>
      <c r="B4" s="47"/>
      <c r="C4" s="47"/>
      <c r="D4" s="47"/>
      <c r="E4" s="1"/>
      <c r="F4" s="1"/>
    </row>
    <row r="5" spans="1:10" ht="15.6" x14ac:dyDescent="0.3">
      <c r="A5" s="47"/>
      <c r="B5" s="47"/>
      <c r="C5" s="47"/>
      <c r="D5" s="47"/>
      <c r="E5" s="1"/>
      <c r="F5" s="1"/>
    </row>
    <row r="6" spans="1:10" x14ac:dyDescent="0.25">
      <c r="A6" s="1"/>
      <c r="B6" s="1"/>
      <c r="C6" s="1"/>
      <c r="D6" s="4"/>
      <c r="E6" s="1"/>
      <c r="F6" s="1"/>
    </row>
    <row r="7" spans="1:10" x14ac:dyDescent="0.25">
      <c r="A7" s="1"/>
      <c r="B7" s="1"/>
      <c r="C7" s="1"/>
      <c r="D7" s="1"/>
      <c r="E7" s="1"/>
      <c r="F7" s="1"/>
      <c r="G7" s="5"/>
      <c r="H7" s="5"/>
      <c r="I7" s="5"/>
      <c r="J7" s="5"/>
    </row>
    <row r="8" spans="1:10" ht="15.6" x14ac:dyDescent="0.3">
      <c r="A8" s="6"/>
      <c r="B8" s="7"/>
      <c r="C8" s="7"/>
      <c r="D8" s="8"/>
      <c r="E8" s="1"/>
      <c r="F8" s="1"/>
      <c r="G8" s="5"/>
      <c r="H8" s="9"/>
      <c r="I8" s="5"/>
      <c r="J8" s="9"/>
    </row>
    <row r="9" spans="1:10" ht="15.6" x14ac:dyDescent="0.3">
      <c r="A9" s="6" t="s">
        <v>3</v>
      </c>
      <c r="B9" s="7">
        <v>199341.5</v>
      </c>
      <c r="C9" s="7"/>
      <c r="D9" s="8"/>
      <c r="E9" s="1"/>
      <c r="F9" s="1"/>
      <c r="G9" s="5"/>
      <c r="H9" s="9"/>
      <c r="I9" s="5"/>
      <c r="J9" s="9"/>
    </row>
    <row r="10" spans="1:10" ht="15.6" x14ac:dyDescent="0.3">
      <c r="A10" s="6" t="s">
        <v>4</v>
      </c>
      <c r="B10" s="10">
        <f>211446.28-24779.88+78.5-111574.11-91733.52+58333.33-161400.29-115889.95+5967.94</f>
        <v>-229551.7</v>
      </c>
      <c r="C10" s="10"/>
      <c r="D10" s="8"/>
      <c r="E10" s="1"/>
      <c r="F10" s="1"/>
      <c r="G10" s="5"/>
      <c r="H10" s="9"/>
      <c r="I10" s="5"/>
      <c r="J10" s="9"/>
    </row>
    <row r="11" spans="1:10" ht="15.6" x14ac:dyDescent="0.3">
      <c r="A11" s="6" t="s">
        <v>5</v>
      </c>
      <c r="B11" s="10">
        <v>0</v>
      </c>
      <c r="C11" s="11"/>
      <c r="D11" s="8"/>
      <c r="E11" s="1"/>
      <c r="F11" s="1"/>
      <c r="H11" s="12"/>
    </row>
    <row r="12" spans="1:10" ht="15.6" x14ac:dyDescent="0.3">
      <c r="A12" s="6" t="s">
        <v>6</v>
      </c>
      <c r="B12" s="10">
        <v>3220855.04</v>
      </c>
      <c r="C12" s="11"/>
      <c r="D12" s="8"/>
      <c r="E12" s="1"/>
      <c r="F12" s="1"/>
      <c r="H12" s="12"/>
    </row>
    <row r="13" spans="1:10" ht="15.6" x14ac:dyDescent="0.3">
      <c r="A13" s="6" t="s">
        <v>7</v>
      </c>
      <c r="B13" s="10">
        <v>299471.21000000002</v>
      </c>
      <c r="C13" s="11"/>
      <c r="D13" s="8"/>
      <c r="E13" s="1"/>
      <c r="F13" s="1"/>
      <c r="H13" s="12"/>
    </row>
    <row r="14" spans="1:10" ht="15.6" x14ac:dyDescent="0.3">
      <c r="A14" s="6" t="s">
        <v>8</v>
      </c>
      <c r="B14" s="10">
        <v>700901.78</v>
      </c>
      <c r="C14" s="11"/>
      <c r="D14" s="8"/>
      <c r="E14" s="1"/>
      <c r="F14" s="1"/>
      <c r="H14" s="12"/>
    </row>
    <row r="15" spans="1:10" ht="15.6" x14ac:dyDescent="0.3">
      <c r="A15" s="6" t="s">
        <v>55</v>
      </c>
      <c r="B15" s="13">
        <v>4015.15</v>
      </c>
      <c r="C15" s="14"/>
      <c r="D15" s="8"/>
      <c r="E15" s="1"/>
      <c r="F15" s="1"/>
      <c r="H15" s="12"/>
    </row>
    <row r="16" spans="1:10" ht="15.6" x14ac:dyDescent="0.3">
      <c r="A16" s="15" t="s">
        <v>9</v>
      </c>
      <c r="B16" s="7"/>
      <c r="C16" s="7">
        <f>SUM(B8:B15)</f>
        <v>4195032.9800000004</v>
      </c>
      <c r="D16" s="8"/>
      <c r="E16" s="1"/>
      <c r="F16" s="1"/>
      <c r="G16" s="5"/>
      <c r="H16" s="16"/>
      <c r="I16" s="17"/>
      <c r="J16" s="16"/>
    </row>
    <row r="17" spans="1:8" x14ac:dyDescent="0.25">
      <c r="A17" s="1"/>
      <c r="B17" s="7"/>
      <c r="C17" s="7"/>
      <c r="D17" s="8"/>
      <c r="E17" s="1"/>
      <c r="F17" s="1"/>
    </row>
    <row r="18" spans="1:8" ht="15.6" x14ac:dyDescent="0.3">
      <c r="A18" s="6" t="s">
        <v>10</v>
      </c>
      <c r="B18" s="18">
        <v>479951.82</v>
      </c>
      <c r="C18" s="7"/>
      <c r="D18" s="8"/>
      <c r="E18" s="1"/>
      <c r="F18" s="1"/>
      <c r="H18" s="12"/>
    </row>
    <row r="19" spans="1:8" ht="15.6" x14ac:dyDescent="0.3">
      <c r="A19" s="6" t="s">
        <v>11</v>
      </c>
      <c r="B19" s="7">
        <f>-+B10+1332021.42</f>
        <v>1561573.1199999999</v>
      </c>
      <c r="C19" s="10"/>
      <c r="D19" s="8"/>
      <c r="E19" s="1"/>
      <c r="F19" s="1"/>
      <c r="H19" s="12"/>
    </row>
    <row r="20" spans="1:8" ht="15.6" x14ac:dyDescent="0.3">
      <c r="A20" s="6" t="s">
        <v>12</v>
      </c>
      <c r="B20" s="7">
        <v>1156182.4099999999</v>
      </c>
      <c r="C20" s="11"/>
      <c r="D20" s="8"/>
      <c r="E20" s="1"/>
      <c r="F20" s="1"/>
      <c r="H20" s="12"/>
    </row>
    <row r="21" spans="1:8" ht="15.6" x14ac:dyDescent="0.3">
      <c r="A21" s="6" t="s">
        <v>13</v>
      </c>
      <c r="B21" s="19">
        <f>2800+1665+10156.71</f>
        <v>14621.71</v>
      </c>
      <c r="C21" s="13"/>
      <c r="D21" s="8"/>
      <c r="E21" s="1"/>
      <c r="F21" s="1"/>
      <c r="H21" s="12"/>
    </row>
    <row r="22" spans="1:8" ht="15.6" x14ac:dyDescent="0.3">
      <c r="A22" s="6" t="s">
        <v>14</v>
      </c>
      <c r="B22" s="10"/>
      <c r="C22" s="10">
        <f>SUM(B18:B21)</f>
        <v>3212329.0599999996</v>
      </c>
      <c r="D22" s="8"/>
      <c r="E22" s="1"/>
      <c r="F22" s="1"/>
      <c r="H22" s="12"/>
    </row>
    <row r="23" spans="1:8" ht="6" customHeight="1" x14ac:dyDescent="0.3">
      <c r="A23" s="6"/>
      <c r="B23" s="10"/>
      <c r="C23" s="10"/>
      <c r="D23" s="8"/>
      <c r="E23" s="1"/>
      <c r="F23" s="1"/>
      <c r="H23" s="12"/>
    </row>
    <row r="24" spans="1:8" ht="15.6" x14ac:dyDescent="0.3">
      <c r="A24" s="6" t="s">
        <v>15</v>
      </c>
      <c r="B24" s="7"/>
      <c r="C24" s="20">
        <f>C16+C22</f>
        <v>7407362.04</v>
      </c>
      <c r="D24" s="8"/>
      <c r="E24" s="1"/>
      <c r="F24" s="1"/>
      <c r="H24" s="12"/>
    </row>
    <row r="25" spans="1:8" ht="6" customHeight="1" x14ac:dyDescent="0.25">
      <c r="A25" s="1"/>
      <c r="B25" s="7"/>
      <c r="C25" s="7"/>
      <c r="D25" s="8"/>
      <c r="E25" s="1"/>
      <c r="F25" s="1"/>
    </row>
    <row r="26" spans="1:8" ht="15.6" x14ac:dyDescent="0.3">
      <c r="A26" s="6" t="s">
        <v>16</v>
      </c>
      <c r="B26" s="7"/>
      <c r="C26" s="10">
        <v>0</v>
      </c>
      <c r="D26" s="21"/>
      <c r="E26" s="1"/>
      <c r="F26" s="1"/>
      <c r="H26" s="22"/>
    </row>
    <row r="27" spans="1:8" ht="6" customHeight="1" x14ac:dyDescent="0.3">
      <c r="A27" s="6"/>
      <c r="B27" s="10"/>
      <c r="C27" s="10"/>
      <c r="D27" s="21"/>
      <c r="E27" s="1"/>
      <c r="F27" s="1"/>
      <c r="H27" s="22"/>
    </row>
    <row r="28" spans="1:8" ht="16.2" thickBot="1" x14ac:dyDescent="0.35">
      <c r="A28" s="6" t="s">
        <v>17</v>
      </c>
      <c r="B28" s="7"/>
      <c r="C28" s="23">
        <f>C16+B30</f>
        <v>7407362.04</v>
      </c>
      <c r="E28" s="1"/>
      <c r="F28" s="1"/>
      <c r="H28" s="22"/>
    </row>
    <row r="29" spans="1:8" ht="15.6" thickTop="1" x14ac:dyDescent="0.25">
      <c r="A29" s="1"/>
      <c r="B29" s="1"/>
      <c r="C29" s="1"/>
      <c r="D29" s="1"/>
      <c r="E29" s="1"/>
      <c r="F29" s="1"/>
    </row>
    <row r="30" spans="1:8" ht="16.2" thickBot="1" x14ac:dyDescent="0.35">
      <c r="A30" s="24" t="s">
        <v>18</v>
      </c>
      <c r="B30" s="25">
        <f>C22+C26</f>
        <v>3212329.0599999996</v>
      </c>
      <c r="C30" s="26"/>
      <c r="D30" s="27"/>
      <c r="E30" s="26"/>
      <c r="F30" s="26"/>
    </row>
    <row r="31" spans="1:8" ht="16.2" thickTop="1" x14ac:dyDescent="0.3">
      <c r="A31" s="24"/>
      <c r="B31" s="10"/>
      <c r="C31" s="26"/>
      <c r="D31" s="27"/>
      <c r="E31" s="26"/>
      <c r="F31" s="26"/>
    </row>
    <row r="32" spans="1:8" ht="5.25" customHeight="1" x14ac:dyDescent="0.3">
      <c r="A32" s="24"/>
      <c r="B32" s="10"/>
      <c r="C32" s="26"/>
      <c r="D32" s="27"/>
      <c r="E32" s="26"/>
      <c r="F32" s="26"/>
    </row>
    <row r="33" spans="1:6" ht="15.6" x14ac:dyDescent="0.3">
      <c r="A33" s="28" t="s">
        <v>88</v>
      </c>
      <c r="B33" s="1"/>
      <c r="C33" s="1"/>
      <c r="D33" s="1"/>
      <c r="E33" s="1"/>
      <c r="F33" s="1"/>
    </row>
    <row r="34" spans="1:6" ht="15.6" x14ac:dyDescent="0.3">
      <c r="A34" s="29" t="s">
        <v>87</v>
      </c>
      <c r="B34" s="1"/>
      <c r="C34" s="1"/>
      <c r="D34" s="1"/>
      <c r="E34" s="1"/>
      <c r="F34" s="1"/>
    </row>
    <row r="35" spans="1:6" ht="15.6" x14ac:dyDescent="0.3">
      <c r="A35" s="6" t="s">
        <v>86</v>
      </c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ht="15.6" x14ac:dyDescent="0.3">
      <c r="A37" s="6" t="s">
        <v>22</v>
      </c>
      <c r="B37" s="1"/>
      <c r="C37" s="1"/>
      <c r="D37" s="1"/>
      <c r="E37" s="1"/>
      <c r="F37" s="1"/>
    </row>
    <row r="38" spans="1:6" ht="15.6" x14ac:dyDescent="0.3">
      <c r="A38" s="6" t="s">
        <v>25</v>
      </c>
      <c r="B38" s="7">
        <v>20948.669999999998</v>
      </c>
      <c r="C38" s="10"/>
      <c r="D38" s="1"/>
      <c r="E38" s="1"/>
      <c r="F38" s="1"/>
    </row>
    <row r="39" spans="1:6" ht="15.6" x14ac:dyDescent="0.3">
      <c r="A39" s="6" t="s">
        <v>26</v>
      </c>
      <c r="B39" s="7">
        <f>113322.3-107175.75</f>
        <v>6146.5500000000029</v>
      </c>
      <c r="C39" s="10"/>
      <c r="D39" s="1"/>
      <c r="E39" s="1"/>
      <c r="F39" s="1"/>
    </row>
    <row r="40" spans="1:6" ht="15.6" x14ac:dyDescent="0.3">
      <c r="A40" s="6" t="s">
        <v>73</v>
      </c>
      <c r="B40" s="7">
        <v>581558</v>
      </c>
      <c r="C40" s="10"/>
      <c r="D40" s="1"/>
      <c r="E40" s="1"/>
      <c r="F40" s="1"/>
    </row>
    <row r="41" spans="1:6" ht="15.6" thickBot="1" x14ac:dyDescent="0.3">
      <c r="A41" s="1"/>
      <c r="B41" s="30">
        <f>SUM(B38:B40)</f>
        <v>608653.22</v>
      </c>
      <c r="C41" s="31"/>
      <c r="D41" s="1"/>
      <c r="E41" s="1"/>
      <c r="F41" s="1"/>
    </row>
    <row r="42" spans="1:6" ht="15.6" thickTop="1" x14ac:dyDescent="0.25">
      <c r="A42" s="1"/>
      <c r="B42" s="1"/>
      <c r="C42" s="32"/>
      <c r="D42" s="1"/>
      <c r="E42" s="1"/>
      <c r="F42" s="1"/>
    </row>
  </sheetData>
  <mergeCells count="3">
    <mergeCell ref="A1:D1"/>
    <mergeCell ref="A2:D2"/>
    <mergeCell ref="A3:D3"/>
  </mergeCells>
  <pageMargins left="0.45" right="0.2" top="0.75" bottom="0.75" header="0.3" footer="0.3"/>
  <pageSetup scale="8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5"/>
  <sheetViews>
    <sheetView topLeftCell="A7" workbookViewId="0">
      <selection activeCell="B12" sqref="B12"/>
    </sheetView>
  </sheetViews>
  <sheetFormatPr defaultRowHeight="14.4" x14ac:dyDescent="0.3"/>
  <cols>
    <col min="1" max="1" width="26.33203125" customWidth="1"/>
    <col min="2" max="2" width="14.6640625" bestFit="1" customWidth="1"/>
    <col min="6" max="6" width="11.88671875" customWidth="1"/>
  </cols>
  <sheetData>
    <row r="1" spans="1:4" x14ac:dyDescent="0.3">
      <c r="A1" s="33" t="s">
        <v>84</v>
      </c>
    </row>
    <row r="2" spans="1:4" x14ac:dyDescent="0.3">
      <c r="A2" t="s">
        <v>29</v>
      </c>
      <c r="B2" s="34">
        <v>2133564.84</v>
      </c>
    </row>
    <row r="3" spans="1:4" x14ac:dyDescent="0.3">
      <c r="A3" t="s">
        <v>30</v>
      </c>
      <c r="B3" s="35">
        <v>0</v>
      </c>
    </row>
    <row r="4" spans="1:4" x14ac:dyDescent="0.3">
      <c r="A4" t="s">
        <v>31</v>
      </c>
      <c r="B4" s="34">
        <v>672439.91</v>
      </c>
    </row>
    <row r="5" spans="1:4" x14ac:dyDescent="0.3">
      <c r="A5" t="s">
        <v>32</v>
      </c>
      <c r="B5" s="34">
        <v>-577818.82999999996</v>
      </c>
      <c r="D5" s="35"/>
    </row>
    <row r="6" spans="1:4" x14ac:dyDescent="0.3">
      <c r="A6" t="s">
        <v>33</v>
      </c>
      <c r="B6" s="34">
        <f>893621.03+490293.17</f>
        <v>1383914.2</v>
      </c>
      <c r="C6" t="s">
        <v>92</v>
      </c>
    </row>
    <row r="7" spans="1:4" x14ac:dyDescent="0.3">
      <c r="A7" t="s">
        <v>35</v>
      </c>
      <c r="B7" s="34">
        <f>-44298.48+7736.45</f>
        <v>-36562.030000000006</v>
      </c>
    </row>
    <row r="8" spans="1:4" x14ac:dyDescent="0.3">
      <c r="A8" t="s">
        <v>91</v>
      </c>
      <c r="B8" s="34">
        <v>-608333.32999999996</v>
      </c>
      <c r="C8" t="s">
        <v>93</v>
      </c>
    </row>
    <row r="9" spans="1:4" x14ac:dyDescent="0.3">
      <c r="A9" t="s">
        <v>36</v>
      </c>
      <c r="B9" s="36">
        <v>315139.48</v>
      </c>
      <c r="C9" t="s">
        <v>37</v>
      </c>
    </row>
    <row r="10" spans="1:4" x14ac:dyDescent="0.3">
      <c r="A10" t="s">
        <v>38</v>
      </c>
      <c r="B10" s="34">
        <v>-314891.37</v>
      </c>
    </row>
    <row r="11" spans="1:4" x14ac:dyDescent="0.3">
      <c r="A11" t="s">
        <v>39</v>
      </c>
      <c r="B11" s="34">
        <v>303.10000000000002</v>
      </c>
    </row>
    <row r="12" spans="1:4" x14ac:dyDescent="0.3">
      <c r="A12" t="s">
        <v>40</v>
      </c>
      <c r="B12" s="34">
        <v>0</v>
      </c>
      <c r="C12" t="s">
        <v>63</v>
      </c>
    </row>
    <row r="13" spans="1:4" x14ac:dyDescent="0.3">
      <c r="A13" t="s">
        <v>16</v>
      </c>
      <c r="B13" s="34">
        <v>0</v>
      </c>
    </row>
    <row r="14" spans="1:4" x14ac:dyDescent="0.3">
      <c r="A14" t="s">
        <v>42</v>
      </c>
      <c r="B14" s="34">
        <f>244573.1</f>
        <v>244573.1</v>
      </c>
    </row>
    <row r="15" spans="1:4" x14ac:dyDescent="0.3">
      <c r="A15" t="s">
        <v>57</v>
      </c>
      <c r="B15" s="34"/>
    </row>
    <row r="16" spans="1:4" x14ac:dyDescent="0.3">
      <c r="A16" t="s">
        <v>43</v>
      </c>
      <c r="B16" s="37">
        <f>SUM(B2:B15)</f>
        <v>3212329.0700000003</v>
      </c>
    </row>
    <row r="17" spans="1:10" x14ac:dyDescent="0.3">
      <c r="A17" t="s">
        <v>44</v>
      </c>
      <c r="B17" s="34">
        <v>-3212329.06</v>
      </c>
    </row>
    <row r="18" spans="1:10" ht="15" thickBot="1" x14ac:dyDescent="0.35">
      <c r="A18" t="s">
        <v>45</v>
      </c>
      <c r="B18" s="38">
        <f>SUM(B16:B17)</f>
        <v>1.0000000242143869E-2</v>
      </c>
    </row>
    <row r="19" spans="1:10" ht="15" thickTop="1" x14ac:dyDescent="0.3">
      <c r="B19" s="39"/>
    </row>
    <row r="20" spans="1:10" x14ac:dyDescent="0.3">
      <c r="A20" t="s">
        <v>29</v>
      </c>
      <c r="B20" s="35">
        <v>3772674.57</v>
      </c>
    </row>
    <row r="21" spans="1:10" x14ac:dyDescent="0.3">
      <c r="A21" t="s">
        <v>56</v>
      </c>
      <c r="B21" s="34">
        <v>685.85</v>
      </c>
    </row>
    <row r="22" spans="1:10" x14ac:dyDescent="0.3">
      <c r="A22" t="s">
        <v>72</v>
      </c>
      <c r="B22" s="34">
        <f>666666.66-58333.33</f>
        <v>608333.33000000007</v>
      </c>
      <c r="C22" t="s">
        <v>75</v>
      </c>
    </row>
    <row r="23" spans="1:10" x14ac:dyDescent="0.3">
      <c r="A23" t="s">
        <v>46</v>
      </c>
      <c r="B23" s="34">
        <v>-20729.419999999998</v>
      </c>
      <c r="C23" t="s">
        <v>90</v>
      </c>
      <c r="J23" t="s">
        <v>47</v>
      </c>
    </row>
    <row r="24" spans="1:10" x14ac:dyDescent="0.3">
      <c r="A24" t="s">
        <v>33</v>
      </c>
      <c r="B24" s="34">
        <v>5967.94</v>
      </c>
      <c r="C24" t="s">
        <v>89</v>
      </c>
    </row>
    <row r="25" spans="1:10" x14ac:dyDescent="0.3">
      <c r="A25" t="s">
        <v>39</v>
      </c>
      <c r="B25" s="34"/>
    </row>
    <row r="26" spans="1:10" x14ac:dyDescent="0.3">
      <c r="A26" t="s">
        <v>40</v>
      </c>
      <c r="B26" s="34"/>
    </row>
    <row r="27" spans="1:10" x14ac:dyDescent="0.3">
      <c r="A27" t="s">
        <v>48</v>
      </c>
      <c r="B27" s="34">
        <v>77856.160000000003</v>
      </c>
    </row>
    <row r="28" spans="1:10" x14ac:dyDescent="0.3">
      <c r="A28" t="s">
        <v>42</v>
      </c>
      <c r="B28" s="34">
        <f>-244573.1</f>
        <v>-244573.1</v>
      </c>
    </row>
    <row r="29" spans="1:10" x14ac:dyDescent="0.3">
      <c r="A29" t="s">
        <v>49</v>
      </c>
      <c r="B29" s="34"/>
    </row>
    <row r="30" spans="1:10" x14ac:dyDescent="0.3">
      <c r="A30" t="s">
        <v>50</v>
      </c>
      <c r="B30" s="34">
        <v>-5182.3500000000004</v>
      </c>
      <c r="G30" t="s">
        <v>94</v>
      </c>
    </row>
    <row r="31" spans="1:10" x14ac:dyDescent="0.3">
      <c r="A31" t="s">
        <v>57</v>
      </c>
      <c r="B31" s="34"/>
    </row>
    <row r="32" spans="1:10" x14ac:dyDescent="0.3">
      <c r="A32" t="s">
        <v>51</v>
      </c>
      <c r="B32" s="40">
        <f>SUM(B20:B31)</f>
        <v>4195032.9800000014</v>
      </c>
    </row>
    <row r="33" spans="1:2" x14ac:dyDescent="0.3">
      <c r="A33" t="s">
        <v>52</v>
      </c>
      <c r="B33" s="35">
        <v>-4195032.9800000004</v>
      </c>
    </row>
    <row r="34" spans="1:2" ht="15" thickBot="1" x14ac:dyDescent="0.35">
      <c r="A34" t="s">
        <v>45</v>
      </c>
      <c r="B34" s="41">
        <f>SUM(B32:B33)</f>
        <v>0</v>
      </c>
    </row>
    <row r="35" spans="1:2" ht="15" thickTop="1" x14ac:dyDescent="0.3"/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transitionEvaluation="1" transitionEntry="1">
    <pageSetUpPr fitToPage="1"/>
  </sheetPr>
  <dimension ref="A1:H38"/>
  <sheetViews>
    <sheetView workbookViewId="0">
      <selection activeCell="A5" sqref="A5"/>
    </sheetView>
  </sheetViews>
  <sheetFormatPr defaultColWidth="9.109375" defaultRowHeight="13.2" x14ac:dyDescent="0.25"/>
  <cols>
    <col min="1" max="1" width="13.5546875" style="66" customWidth="1"/>
    <col min="2" max="2" width="14" style="66" bestFit="1" customWidth="1"/>
    <col min="3" max="3" width="2" style="66" customWidth="1"/>
    <col min="4" max="4" width="10.109375" style="66" customWidth="1"/>
    <col min="5" max="5" width="13.33203125" style="66" bestFit="1" customWidth="1"/>
    <col min="6" max="6" width="15.109375" style="66" customWidth="1"/>
    <col min="7" max="7" width="14.6640625" style="66" customWidth="1"/>
    <col min="8" max="8" width="14.5546875" style="66" bestFit="1" customWidth="1"/>
    <col min="9" max="9" width="18.44140625" style="66" customWidth="1"/>
    <col min="10" max="16384" width="9.109375" style="66"/>
  </cols>
  <sheetData>
    <row r="1" spans="1:8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8" x14ac:dyDescent="0.25">
      <c r="A2" s="97" t="s">
        <v>172</v>
      </c>
      <c r="B2" s="97"/>
      <c r="C2" s="97"/>
      <c r="D2" s="97"/>
      <c r="E2" s="97"/>
      <c r="F2" s="97"/>
      <c r="G2" s="97"/>
      <c r="H2" s="97"/>
    </row>
    <row r="3" spans="1:8" x14ac:dyDescent="0.25">
      <c r="A3" s="97" t="s">
        <v>173</v>
      </c>
      <c r="B3" s="97"/>
      <c r="C3" s="97"/>
      <c r="D3" s="97"/>
      <c r="E3" s="97"/>
      <c r="F3" s="97"/>
      <c r="G3" s="97"/>
      <c r="H3" s="97"/>
    </row>
    <row r="4" spans="1:8" x14ac:dyDescent="0.25">
      <c r="A4" s="97" t="s">
        <v>205</v>
      </c>
      <c r="B4" s="97"/>
      <c r="C4" s="97"/>
      <c r="D4" s="97"/>
      <c r="E4" s="97"/>
      <c r="F4" s="97"/>
      <c r="G4" s="97"/>
      <c r="H4" s="97"/>
    </row>
    <row r="5" spans="1:8" x14ac:dyDescent="0.25">
      <c r="A5" s="67"/>
      <c r="B5" s="67"/>
      <c r="C5" s="67"/>
      <c r="D5" s="67"/>
      <c r="E5" s="67"/>
      <c r="F5" s="67"/>
      <c r="G5" s="67"/>
      <c r="H5" s="67"/>
    </row>
    <row r="6" spans="1:8" x14ac:dyDescent="0.25">
      <c r="A6" s="67"/>
      <c r="B6" s="67"/>
      <c r="C6" s="67"/>
      <c r="D6" s="67"/>
      <c r="E6" s="67"/>
      <c r="F6" s="67"/>
      <c r="G6" s="67"/>
      <c r="H6" s="67"/>
    </row>
    <row r="7" spans="1:8" x14ac:dyDescent="0.25">
      <c r="A7" s="67"/>
      <c r="B7" s="67"/>
      <c r="C7" s="67"/>
      <c r="D7" s="67"/>
      <c r="E7" s="67"/>
      <c r="F7" s="67"/>
      <c r="G7" s="67"/>
      <c r="H7" s="67"/>
    </row>
    <row r="8" spans="1:8" x14ac:dyDescent="0.25">
      <c r="A8" s="68" t="s">
        <v>174</v>
      </c>
      <c r="B8" s="67"/>
      <c r="C8" s="67"/>
      <c r="D8" s="67"/>
      <c r="E8" s="67"/>
      <c r="F8" s="67"/>
      <c r="G8" s="69">
        <v>1156182.4099999999</v>
      </c>
      <c r="H8" s="67"/>
    </row>
    <row r="9" spans="1:8" x14ac:dyDescent="0.25">
      <c r="A9" s="67"/>
      <c r="B9" s="67"/>
      <c r="C9" s="67"/>
      <c r="D9" s="67"/>
      <c r="E9" s="67"/>
      <c r="F9" s="67"/>
      <c r="G9" s="67"/>
      <c r="H9" s="67"/>
    </row>
    <row r="10" spans="1:8" x14ac:dyDescent="0.25">
      <c r="A10" s="68" t="s">
        <v>175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/>
      <c r="B11" s="69"/>
      <c r="C11" s="67"/>
      <c r="D11" s="67"/>
      <c r="E11" s="67"/>
      <c r="F11" s="67"/>
      <c r="G11" s="71"/>
      <c r="H11" s="67"/>
    </row>
    <row r="12" spans="1:8" x14ac:dyDescent="0.25">
      <c r="A12" s="67"/>
      <c r="B12" s="67"/>
      <c r="C12" s="67"/>
      <c r="D12" s="67"/>
      <c r="E12" s="67"/>
      <c r="F12" s="67"/>
      <c r="G12" s="67"/>
      <c r="H12" s="67"/>
    </row>
    <row r="13" spans="1:8" x14ac:dyDescent="0.25">
      <c r="A13" s="67"/>
      <c r="B13" s="67"/>
      <c r="C13" s="67"/>
      <c r="D13" s="67"/>
      <c r="E13" s="67"/>
      <c r="F13" s="67"/>
      <c r="G13" s="67"/>
      <c r="H13" s="67"/>
    </row>
    <row r="14" spans="1:8" x14ac:dyDescent="0.25">
      <c r="A14" s="68" t="s">
        <v>176</v>
      </c>
      <c r="B14" s="67"/>
      <c r="C14" s="67"/>
      <c r="D14" s="67"/>
      <c r="E14" s="67"/>
      <c r="F14" s="67"/>
      <c r="G14" s="67"/>
      <c r="H14" s="67"/>
    </row>
    <row r="15" spans="1:8" x14ac:dyDescent="0.25">
      <c r="A15" s="70"/>
      <c r="B15" s="72"/>
      <c r="C15" s="67"/>
      <c r="D15" s="67"/>
      <c r="E15" s="69"/>
      <c r="F15" s="67"/>
      <c r="G15" s="67"/>
      <c r="H15" s="67"/>
    </row>
    <row r="16" spans="1:8" x14ac:dyDescent="0.25">
      <c r="A16" s="67"/>
      <c r="B16" s="72"/>
      <c r="C16" s="67"/>
      <c r="D16" s="67"/>
      <c r="E16" s="69"/>
      <c r="F16" s="67"/>
      <c r="G16" s="67"/>
      <c r="H16" s="67"/>
    </row>
    <row r="17" spans="1:8" x14ac:dyDescent="0.25">
      <c r="A17" s="73"/>
      <c r="B17" s="72"/>
      <c r="C17" s="73"/>
      <c r="D17" s="73"/>
      <c r="E17" s="69"/>
      <c r="F17" s="73"/>
      <c r="G17" s="73"/>
      <c r="H17" s="73"/>
    </row>
    <row r="18" spans="1:8" x14ac:dyDescent="0.25">
      <c r="A18" s="91"/>
      <c r="B18" s="72"/>
      <c r="C18" s="73"/>
      <c r="D18" s="73"/>
      <c r="E18" s="69"/>
      <c r="F18" s="73"/>
      <c r="G18" s="74"/>
      <c r="H18" s="73"/>
    </row>
    <row r="19" spans="1:8" x14ac:dyDescent="0.25">
      <c r="A19" s="73"/>
      <c r="B19" s="72"/>
      <c r="C19" s="73"/>
      <c r="D19" s="73"/>
      <c r="E19" s="73"/>
      <c r="F19" s="73"/>
      <c r="G19" s="73"/>
      <c r="H19" s="73"/>
    </row>
    <row r="20" spans="1:8" ht="13.8" thickBot="1" x14ac:dyDescent="0.3">
      <c r="A20" s="75" t="s">
        <v>177</v>
      </c>
      <c r="B20" s="72"/>
      <c r="C20" s="73"/>
      <c r="D20" s="73"/>
      <c r="E20" s="73"/>
      <c r="F20" s="73"/>
      <c r="G20" s="76">
        <f>SUM(G8:G19)</f>
        <v>1156182.4099999999</v>
      </c>
      <c r="H20" s="73"/>
    </row>
    <row r="21" spans="1:8" ht="13.8" thickTop="1" x14ac:dyDescent="0.25">
      <c r="A21" s="73"/>
      <c r="B21" s="69"/>
      <c r="C21" s="73"/>
      <c r="D21" s="73"/>
      <c r="E21" s="73"/>
      <c r="F21" s="73"/>
      <c r="G21" s="73"/>
      <c r="H21" s="73"/>
    </row>
    <row r="22" spans="1:8" x14ac:dyDescent="0.25">
      <c r="A22" s="75" t="s">
        <v>178</v>
      </c>
      <c r="B22" s="69"/>
      <c r="C22" s="73"/>
      <c r="D22" s="73"/>
      <c r="E22" s="73"/>
      <c r="F22" s="73"/>
      <c r="G22" s="69">
        <v>1156182.4099999999</v>
      </c>
      <c r="H22" s="73"/>
    </row>
    <row r="23" spans="1:8" x14ac:dyDescent="0.25">
      <c r="A23" s="75" t="s">
        <v>179</v>
      </c>
      <c r="B23" s="73"/>
      <c r="C23" s="73"/>
      <c r="D23" s="73"/>
      <c r="E23" s="73"/>
      <c r="F23" s="73"/>
      <c r="G23" s="69"/>
      <c r="H23" s="73"/>
    </row>
    <row r="24" spans="1:8" x14ac:dyDescent="0.25">
      <c r="A24" s="73"/>
      <c r="B24" s="73"/>
      <c r="C24" s="73"/>
      <c r="D24" s="73"/>
      <c r="E24" s="73"/>
      <c r="F24" s="73"/>
      <c r="G24" s="73"/>
      <c r="H24" s="73"/>
    </row>
    <row r="25" spans="1:8" x14ac:dyDescent="0.25">
      <c r="A25" s="73"/>
      <c r="B25" s="73"/>
      <c r="C25" s="73"/>
      <c r="D25" s="73"/>
      <c r="E25" s="73"/>
      <c r="F25" s="73"/>
      <c r="G25" s="73"/>
      <c r="H25" s="73"/>
    </row>
    <row r="26" spans="1:8" ht="13.8" thickBot="1" x14ac:dyDescent="0.3">
      <c r="A26" s="75" t="s">
        <v>180</v>
      </c>
      <c r="B26" s="73"/>
      <c r="C26" s="73"/>
      <c r="D26" s="73"/>
      <c r="E26" s="73"/>
      <c r="F26" s="73"/>
      <c r="G26" s="77">
        <f>SUM(G22:G25)</f>
        <v>1156182.4099999999</v>
      </c>
      <c r="H26" s="73"/>
    </row>
    <row r="27" spans="1:8" ht="15" thickTop="1" x14ac:dyDescent="0.3">
      <c r="A27" s="73"/>
      <c r="B27" s="73"/>
      <c r="C27" s="73"/>
      <c r="D27" s="73"/>
      <c r="E27" s="73"/>
      <c r="F27" s="73"/>
      <c r="G27" s="78"/>
      <c r="H27" s="73"/>
    </row>
    <row r="28" spans="1:8" x14ac:dyDescent="0.25">
      <c r="A28" s="75" t="s">
        <v>181</v>
      </c>
      <c r="B28" s="73"/>
      <c r="C28" s="73"/>
      <c r="D28" s="73"/>
      <c r="E28" s="73"/>
      <c r="F28" s="73"/>
      <c r="G28" s="79">
        <f>G20-G26</f>
        <v>0</v>
      </c>
      <c r="H28" s="73"/>
    </row>
    <row r="29" spans="1:8" x14ac:dyDescent="0.25">
      <c r="A29" s="73"/>
      <c r="B29" s="73"/>
      <c r="C29" s="73"/>
      <c r="D29" s="73"/>
      <c r="E29" s="73"/>
      <c r="F29" s="73"/>
      <c r="G29" s="73"/>
      <c r="H29" s="73"/>
    </row>
    <row r="30" spans="1:8" ht="11.25" customHeight="1" x14ac:dyDescent="0.25">
      <c r="A30" s="73"/>
      <c r="B30" s="73"/>
      <c r="C30" s="73"/>
      <c r="D30" s="73"/>
      <c r="E30" s="73"/>
      <c r="F30" s="73"/>
      <c r="G30" s="73"/>
      <c r="H30" s="73"/>
    </row>
    <row r="31" spans="1:8" x14ac:dyDescent="0.25">
      <c r="A31" s="80" t="s">
        <v>182</v>
      </c>
      <c r="B31" s="80"/>
      <c r="C31" s="80"/>
      <c r="D31" s="92"/>
      <c r="E31" s="80"/>
      <c r="F31" s="80"/>
      <c r="G31" s="80"/>
      <c r="H31" s="80"/>
    </row>
    <row r="32" spans="1:8" ht="14.4" x14ac:dyDescent="0.3">
      <c r="A32" s="80" t="s">
        <v>183</v>
      </c>
      <c r="B32" s="94">
        <f>1014869.83+290.6+313.54+284.82+266.51+283.15+266.5</f>
        <v>1016574.95</v>
      </c>
      <c r="C32" s="80"/>
      <c r="D32" s="82">
        <f>B32/B34</f>
        <v>0.87925135446404168</v>
      </c>
      <c r="E32" s="69">
        <f>D32*0</f>
        <v>0</v>
      </c>
      <c r="F32" s="80"/>
      <c r="G32" s="80"/>
      <c r="H32" s="80"/>
    </row>
    <row r="33" spans="1:8" ht="14.4" x14ac:dyDescent="0.3">
      <c r="A33" s="80" t="s">
        <v>145</v>
      </c>
      <c r="B33" s="94">
        <f>564104.69+161.52-78.5-225000+104.76+94.94+88.84+94.61-200000+36.6</f>
        <v>139607.46</v>
      </c>
      <c r="C33" s="80" t="s">
        <v>184</v>
      </c>
      <c r="D33" s="82">
        <f>B33/B34</f>
        <v>0.12074864553595829</v>
      </c>
      <c r="E33" s="69">
        <f>-E32+0</f>
        <v>0</v>
      </c>
      <c r="F33" s="83" t="s">
        <v>198</v>
      </c>
      <c r="G33" s="84">
        <f>E33*1</f>
        <v>0</v>
      </c>
      <c r="H33" s="80"/>
    </row>
    <row r="34" spans="1:8" ht="15" thickBot="1" x14ac:dyDescent="0.35">
      <c r="A34" s="80"/>
      <c r="B34" s="93">
        <f>SUM(B32:B33)</f>
        <v>1156182.4099999999</v>
      </c>
      <c r="C34" s="80"/>
      <c r="D34" s="86">
        <f>SUM(D32:D33)</f>
        <v>1</v>
      </c>
      <c r="E34" s="87"/>
      <c r="F34" s="83" t="s">
        <v>199</v>
      </c>
      <c r="G34" s="84">
        <f>E33*0</f>
        <v>0</v>
      </c>
      <c r="H34" s="80"/>
    </row>
    <row r="35" spans="1:8" ht="13.8" thickTop="1" x14ac:dyDescent="0.25">
      <c r="A35" s="80"/>
      <c r="B35" s="80"/>
      <c r="C35" s="80"/>
      <c r="D35" s="80"/>
      <c r="E35" s="80"/>
      <c r="F35" s="88"/>
      <c r="G35" s="80"/>
      <c r="H35" s="80"/>
    </row>
    <row r="36" spans="1:8" x14ac:dyDescent="0.25">
      <c r="A36" s="83" t="s">
        <v>187</v>
      </c>
      <c r="B36" s="80"/>
      <c r="C36" s="80"/>
      <c r="D36" s="80"/>
      <c r="E36" s="80"/>
      <c r="F36" s="80"/>
      <c r="G36" s="80"/>
      <c r="H36" s="80"/>
    </row>
    <row r="38" spans="1:8" ht="14.4" x14ac:dyDescent="0.3">
      <c r="A38" s="89">
        <v>0</v>
      </c>
      <c r="B38" s="90">
        <f>A38/B33</f>
        <v>0</v>
      </c>
    </row>
  </sheetData>
  <mergeCells count="4">
    <mergeCell ref="A1:H1"/>
    <mergeCell ref="A2:H2"/>
    <mergeCell ref="A3:H3"/>
    <mergeCell ref="A4:H4"/>
  </mergeCells>
  <pageMargins left="0.54" right="0.45" top="0.52" bottom="0.48" header="0.37" footer="0.22"/>
  <pageSetup fitToHeight="2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J43"/>
  <sheetViews>
    <sheetView zoomScaleNormal="100" workbookViewId="0">
      <selection activeCell="C16" sqref="C16"/>
    </sheetView>
  </sheetViews>
  <sheetFormatPr defaultColWidth="9.109375" defaultRowHeight="15" x14ac:dyDescent="0.25"/>
  <cols>
    <col min="1" max="1" width="49.44140625" style="2" bestFit="1" customWidth="1"/>
    <col min="2" max="4" width="19.109375" style="2" customWidth="1"/>
    <col min="5" max="5" width="5.88671875" style="2" customWidth="1"/>
    <col min="6" max="7" width="9.109375" style="2"/>
    <col min="8" max="8" width="15.6640625" style="2" customWidth="1"/>
    <col min="9" max="9" width="3.5546875" style="2" customWidth="1"/>
    <col min="10" max="10" width="15.109375" style="2" bestFit="1" customWidth="1"/>
    <col min="11" max="16384" width="9.109375" style="2"/>
  </cols>
  <sheetData>
    <row r="1" spans="1:10" ht="15.6" x14ac:dyDescent="0.3">
      <c r="A1" s="96" t="s">
        <v>0</v>
      </c>
      <c r="B1" s="96"/>
      <c r="C1" s="96"/>
      <c r="D1" s="96"/>
      <c r="E1" s="1"/>
      <c r="F1" s="1"/>
    </row>
    <row r="2" spans="1:10" ht="15.6" x14ac:dyDescent="0.3">
      <c r="A2" s="96" t="s">
        <v>1</v>
      </c>
      <c r="B2" s="96"/>
      <c r="C2" s="96"/>
      <c r="D2" s="96"/>
      <c r="E2" s="1"/>
      <c r="F2" s="1"/>
    </row>
    <row r="3" spans="1:10" ht="15.6" x14ac:dyDescent="0.3">
      <c r="A3" s="96" t="s">
        <v>80</v>
      </c>
      <c r="B3" s="96"/>
      <c r="C3" s="96"/>
      <c r="D3" s="96"/>
      <c r="E3" s="1"/>
      <c r="F3" s="1"/>
    </row>
    <row r="4" spans="1:10" ht="15.6" x14ac:dyDescent="0.3">
      <c r="A4" s="46"/>
      <c r="B4" s="46"/>
      <c r="C4" s="46"/>
      <c r="D4" s="46"/>
      <c r="E4" s="1"/>
      <c r="F4" s="1"/>
    </row>
    <row r="5" spans="1:10" ht="15.6" x14ac:dyDescent="0.3">
      <c r="A5" s="46"/>
      <c r="B5" s="46"/>
      <c r="C5" s="46"/>
      <c r="D5" s="46"/>
      <c r="E5" s="1"/>
      <c r="F5" s="1"/>
    </row>
    <row r="6" spans="1:10" x14ac:dyDescent="0.25">
      <c r="A6" s="1"/>
      <c r="B6" s="1"/>
      <c r="C6" s="1"/>
      <c r="D6" s="4"/>
      <c r="E6" s="1"/>
      <c r="F6" s="1"/>
    </row>
    <row r="7" spans="1:10" x14ac:dyDescent="0.25">
      <c r="A7" s="1"/>
      <c r="B7" s="1"/>
      <c r="C7" s="1"/>
      <c r="D7" s="1"/>
      <c r="E7" s="1"/>
      <c r="F7" s="1"/>
      <c r="G7" s="5"/>
      <c r="H7" s="5"/>
      <c r="I7" s="5"/>
      <c r="J7" s="5"/>
    </row>
    <row r="8" spans="1:10" ht="15.6" x14ac:dyDescent="0.3">
      <c r="A8" s="6"/>
      <c r="B8" s="7"/>
      <c r="C8" s="7"/>
      <c r="D8" s="8"/>
      <c r="E8" s="1"/>
      <c r="F8" s="1"/>
      <c r="G8" s="5"/>
      <c r="H8" s="9"/>
      <c r="I8" s="5"/>
      <c r="J8" s="9"/>
    </row>
    <row r="9" spans="1:10" ht="15.6" x14ac:dyDescent="0.3">
      <c r="A9" s="6" t="s">
        <v>3</v>
      </c>
      <c r="B9" s="7">
        <v>392058.44</v>
      </c>
      <c r="C9" s="7"/>
      <c r="D9" s="8"/>
      <c r="E9" s="1"/>
      <c r="F9" s="1"/>
      <c r="G9" s="5"/>
      <c r="H9" s="9"/>
      <c r="I9" s="5"/>
      <c r="J9" s="9"/>
    </row>
    <row r="10" spans="1:10" ht="15.6" x14ac:dyDescent="0.3">
      <c r="A10" s="6" t="s">
        <v>4</v>
      </c>
      <c r="B10" s="10">
        <f>211446.28-24779.88+78.5-111574.11-91733.52+58333.33-161400.29-115889.95</f>
        <v>-235519.64</v>
      </c>
      <c r="C10" s="10"/>
      <c r="D10" s="8"/>
      <c r="E10" s="1"/>
      <c r="F10" s="1"/>
      <c r="G10" s="5"/>
      <c r="H10" s="9"/>
      <c r="I10" s="5"/>
      <c r="J10" s="9"/>
    </row>
    <row r="11" spans="1:10" ht="15.6" x14ac:dyDescent="0.3">
      <c r="A11" s="6" t="s">
        <v>5</v>
      </c>
      <c r="B11" s="10">
        <v>0</v>
      </c>
      <c r="C11" s="11"/>
      <c r="D11" s="8"/>
      <c r="E11" s="1"/>
      <c r="F11" s="1"/>
      <c r="H11" s="12"/>
    </row>
    <row r="12" spans="1:10" ht="15.6" x14ac:dyDescent="0.3">
      <c r="A12" s="6" t="s">
        <v>6</v>
      </c>
      <c r="B12" s="10">
        <v>2611747.63</v>
      </c>
      <c r="C12" s="11"/>
      <c r="D12" s="8"/>
      <c r="E12" s="1"/>
      <c r="F12" s="1"/>
      <c r="H12" s="12"/>
    </row>
    <row r="13" spans="1:10" ht="15.6" x14ac:dyDescent="0.3">
      <c r="A13" s="6" t="s">
        <v>7</v>
      </c>
      <c r="B13" s="10">
        <v>299471.21000000002</v>
      </c>
      <c r="C13" s="11"/>
      <c r="D13" s="8"/>
      <c r="E13" s="1"/>
      <c r="F13" s="1"/>
      <c r="H13" s="12"/>
    </row>
    <row r="14" spans="1:10" ht="15.6" x14ac:dyDescent="0.3">
      <c r="A14" s="6" t="s">
        <v>8</v>
      </c>
      <c r="B14" s="10">
        <v>700901.78</v>
      </c>
      <c r="C14" s="11"/>
      <c r="D14" s="8"/>
      <c r="E14" s="1"/>
      <c r="F14" s="1"/>
      <c r="H14" s="12"/>
    </row>
    <row r="15" spans="1:10" ht="15.6" x14ac:dyDescent="0.3">
      <c r="A15" s="6" t="s">
        <v>55</v>
      </c>
      <c r="B15" s="13">
        <v>4015.15</v>
      </c>
      <c r="C15" s="14"/>
      <c r="D15" s="8"/>
      <c r="E15" s="1"/>
      <c r="F15" s="1"/>
      <c r="H15" s="12"/>
    </row>
    <row r="16" spans="1:10" ht="15.6" x14ac:dyDescent="0.3">
      <c r="A16" s="15" t="s">
        <v>9</v>
      </c>
      <c r="B16" s="7"/>
      <c r="C16" s="7">
        <f>SUM(B8:B15)</f>
        <v>3772674.57</v>
      </c>
      <c r="D16" s="8"/>
      <c r="E16" s="1"/>
      <c r="F16" s="1"/>
      <c r="G16" s="5"/>
      <c r="H16" s="16"/>
      <c r="I16" s="17"/>
      <c r="J16" s="16"/>
    </row>
    <row r="17" spans="1:8" x14ac:dyDescent="0.25">
      <c r="A17" s="1"/>
      <c r="B17" s="7"/>
      <c r="C17" s="7"/>
      <c r="D17" s="8"/>
      <c r="E17" s="1"/>
      <c r="F17" s="1"/>
    </row>
    <row r="18" spans="1:8" ht="15.6" x14ac:dyDescent="0.3">
      <c r="A18" s="6" t="s">
        <v>10</v>
      </c>
      <c r="B18" s="18">
        <f>385330.74</f>
        <v>385330.74</v>
      </c>
      <c r="C18" s="7"/>
      <c r="D18" s="8"/>
      <c r="E18" s="1"/>
      <c r="F18" s="1"/>
      <c r="H18" s="12"/>
    </row>
    <row r="19" spans="1:8" ht="15.6" x14ac:dyDescent="0.3">
      <c r="A19" s="6" t="s">
        <v>11</v>
      </c>
      <c r="B19" s="7">
        <f>-+B10+342461.55</f>
        <v>577981.18999999994</v>
      </c>
      <c r="C19" s="10"/>
      <c r="D19" s="8"/>
      <c r="E19" s="1"/>
      <c r="F19" s="1"/>
      <c r="H19" s="12"/>
    </row>
    <row r="20" spans="1:8" ht="15.6" x14ac:dyDescent="0.3">
      <c r="A20" s="6" t="s">
        <v>12</v>
      </c>
      <c r="B20" s="7">
        <v>1155879.31</v>
      </c>
      <c r="C20" s="11"/>
      <c r="D20" s="8"/>
      <c r="E20" s="1"/>
      <c r="F20" s="1"/>
      <c r="H20" s="12"/>
    </row>
    <row r="21" spans="1:8" ht="15.6" x14ac:dyDescent="0.3">
      <c r="A21" s="6" t="s">
        <v>13</v>
      </c>
      <c r="B21" s="19">
        <f>2800+1665+9908.6</f>
        <v>14373.6</v>
      </c>
      <c r="C21" s="13"/>
      <c r="D21" s="8"/>
      <c r="E21" s="1"/>
      <c r="F21" s="1"/>
      <c r="H21" s="12"/>
    </row>
    <row r="22" spans="1:8" ht="15.6" x14ac:dyDescent="0.3">
      <c r="A22" s="6" t="s">
        <v>14</v>
      </c>
      <c r="B22" s="10"/>
      <c r="C22" s="10">
        <f>SUM(B18:B21)</f>
        <v>2133564.8400000003</v>
      </c>
      <c r="D22" s="8"/>
      <c r="E22" s="1"/>
      <c r="F22" s="1"/>
      <c r="H22" s="12"/>
    </row>
    <row r="23" spans="1:8" ht="6" customHeight="1" x14ac:dyDescent="0.3">
      <c r="A23" s="6"/>
      <c r="B23" s="10"/>
      <c r="C23" s="10"/>
      <c r="D23" s="8"/>
      <c r="E23" s="1"/>
      <c r="F23" s="1"/>
      <c r="H23" s="12"/>
    </row>
    <row r="24" spans="1:8" ht="15.6" x14ac:dyDescent="0.3">
      <c r="A24" s="6" t="s">
        <v>15</v>
      </c>
      <c r="B24" s="7"/>
      <c r="C24" s="20">
        <f>C16+C22</f>
        <v>5906239.4100000001</v>
      </c>
      <c r="D24" s="8"/>
      <c r="E24" s="1"/>
      <c r="F24" s="1"/>
      <c r="H24" s="12"/>
    </row>
    <row r="25" spans="1:8" ht="6" customHeight="1" x14ac:dyDescent="0.25">
      <c r="A25" s="1"/>
      <c r="B25" s="7"/>
      <c r="C25" s="7"/>
      <c r="D25" s="8"/>
      <c r="E25" s="1"/>
      <c r="F25" s="1"/>
    </row>
    <row r="26" spans="1:8" ht="15.6" x14ac:dyDescent="0.3">
      <c r="A26" s="6" t="s">
        <v>16</v>
      </c>
      <c r="B26" s="7"/>
      <c r="C26" s="10">
        <v>0</v>
      </c>
      <c r="D26" s="21"/>
      <c r="E26" s="1"/>
      <c r="F26" s="1"/>
      <c r="H26" s="22"/>
    </row>
    <row r="27" spans="1:8" ht="6" customHeight="1" x14ac:dyDescent="0.3">
      <c r="A27" s="6"/>
      <c r="B27" s="10"/>
      <c r="C27" s="10"/>
      <c r="D27" s="21"/>
      <c r="E27" s="1"/>
      <c r="F27" s="1"/>
      <c r="H27" s="22"/>
    </row>
    <row r="28" spans="1:8" ht="16.2" thickBot="1" x14ac:dyDescent="0.35">
      <c r="A28" s="6" t="s">
        <v>17</v>
      </c>
      <c r="B28" s="7"/>
      <c r="C28" s="23">
        <f>C16+B30</f>
        <v>5906239.4100000001</v>
      </c>
      <c r="E28" s="1"/>
      <c r="F28" s="1"/>
      <c r="H28" s="22"/>
    </row>
    <row r="29" spans="1:8" ht="15.6" thickTop="1" x14ac:dyDescent="0.25">
      <c r="A29" s="1"/>
      <c r="B29" s="1"/>
      <c r="C29" s="1"/>
      <c r="D29" s="1"/>
      <c r="E29" s="1"/>
      <c r="F29" s="1"/>
    </row>
    <row r="30" spans="1:8" ht="16.2" thickBot="1" x14ac:dyDescent="0.35">
      <c r="A30" s="24" t="s">
        <v>18</v>
      </c>
      <c r="B30" s="25">
        <f>C22+C26</f>
        <v>2133564.8400000003</v>
      </c>
      <c r="C30" s="26"/>
      <c r="D30" s="27"/>
      <c r="E30" s="26"/>
      <c r="F30" s="26"/>
    </row>
    <row r="31" spans="1:8" ht="16.2" thickTop="1" x14ac:dyDescent="0.3">
      <c r="A31" s="24"/>
      <c r="B31" s="10"/>
      <c r="C31" s="26"/>
      <c r="D31" s="27"/>
      <c r="E31" s="26"/>
      <c r="F31" s="26"/>
    </row>
    <row r="32" spans="1:8" ht="5.25" customHeight="1" x14ac:dyDescent="0.3">
      <c r="A32" s="24"/>
      <c r="B32" s="10"/>
      <c r="C32" s="26"/>
      <c r="D32" s="27"/>
      <c r="E32" s="26"/>
      <c r="F32" s="26"/>
    </row>
    <row r="33" spans="1:6" ht="15.6" x14ac:dyDescent="0.3">
      <c r="A33" s="28" t="s">
        <v>81</v>
      </c>
      <c r="B33" s="1"/>
      <c r="C33" s="1"/>
      <c r="D33" s="1"/>
      <c r="E33" s="1"/>
      <c r="F33" s="1"/>
    </row>
    <row r="34" spans="1:6" ht="15.6" x14ac:dyDescent="0.3">
      <c r="A34" s="29" t="s">
        <v>77</v>
      </c>
      <c r="B34" s="1"/>
      <c r="C34" s="1"/>
      <c r="D34" s="1"/>
      <c r="E34" s="1"/>
      <c r="F34" s="1"/>
    </row>
    <row r="35" spans="1:6" ht="15.6" x14ac:dyDescent="0.3">
      <c r="A35" s="6" t="s">
        <v>82</v>
      </c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ht="15.6" x14ac:dyDescent="0.3">
      <c r="A37" s="6" t="s">
        <v>22</v>
      </c>
      <c r="B37" s="1"/>
      <c r="C37" s="1"/>
      <c r="D37" s="1"/>
      <c r="E37" s="1"/>
      <c r="F37" s="1"/>
    </row>
    <row r="38" spans="1:6" ht="15.6" x14ac:dyDescent="0.3">
      <c r="A38" s="6" t="s">
        <v>23</v>
      </c>
      <c r="B38" s="7">
        <f>14969.75+8981.51+27</f>
        <v>23978.260000000002</v>
      </c>
      <c r="C38" s="10"/>
      <c r="D38" s="1"/>
      <c r="E38" s="1"/>
      <c r="F38" s="1"/>
    </row>
    <row r="39" spans="1:6" ht="15.6" x14ac:dyDescent="0.3">
      <c r="A39" s="6" t="s">
        <v>25</v>
      </c>
      <c r="B39" s="7">
        <v>869643.03</v>
      </c>
      <c r="C39" s="10"/>
      <c r="D39" s="1"/>
      <c r="E39" s="1"/>
      <c r="F39" s="1"/>
    </row>
    <row r="40" spans="1:6" ht="15.6" x14ac:dyDescent="0.3">
      <c r="A40" s="6" t="s">
        <v>26</v>
      </c>
      <c r="B40" s="7">
        <f>113322.3-107175.75</f>
        <v>6146.5500000000029</v>
      </c>
      <c r="C40" s="10"/>
      <c r="D40" s="1"/>
      <c r="E40" s="1"/>
      <c r="F40" s="1"/>
    </row>
    <row r="41" spans="1:6" ht="15.6" x14ac:dyDescent="0.3">
      <c r="A41" s="6" t="s">
        <v>73</v>
      </c>
      <c r="B41" s="7">
        <v>581558</v>
      </c>
      <c r="C41" s="10"/>
      <c r="D41" s="1"/>
      <c r="E41" s="1"/>
      <c r="F41" s="1"/>
    </row>
    <row r="42" spans="1:6" ht="15.6" thickBot="1" x14ac:dyDescent="0.3">
      <c r="A42" s="1"/>
      <c r="B42" s="30">
        <f>SUM(B38:B41)</f>
        <v>1481325.84</v>
      </c>
      <c r="C42" s="31"/>
      <c r="D42" s="1"/>
      <c r="E42" s="1"/>
      <c r="F42" s="1"/>
    </row>
    <row r="43" spans="1:6" ht="15.6" thickTop="1" x14ac:dyDescent="0.25">
      <c r="A43" s="1"/>
      <c r="B43" s="1"/>
      <c r="C43" s="32"/>
      <c r="D43" s="1"/>
      <c r="E43" s="1"/>
      <c r="F43" s="1"/>
    </row>
  </sheetData>
  <mergeCells count="3">
    <mergeCell ref="A1:D1"/>
    <mergeCell ref="A2:D2"/>
    <mergeCell ref="A3:D3"/>
  </mergeCells>
  <pageMargins left="0.45" right="0.2" top="0.75" bottom="0.75" header="0.3" footer="0.3"/>
  <pageSetup scale="8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34"/>
  <sheetViews>
    <sheetView workbookViewId="0">
      <selection activeCell="B5" sqref="B5"/>
    </sheetView>
  </sheetViews>
  <sheetFormatPr defaultRowHeight="14.4" x14ac:dyDescent="0.3"/>
  <cols>
    <col min="1" max="1" width="26.33203125" customWidth="1"/>
    <col min="2" max="2" width="14.6640625" bestFit="1" customWidth="1"/>
    <col min="6" max="6" width="11.88671875" customWidth="1"/>
  </cols>
  <sheetData>
    <row r="1" spans="1:4" x14ac:dyDescent="0.3">
      <c r="A1" s="33" t="s">
        <v>83</v>
      </c>
    </row>
    <row r="2" spans="1:4" x14ac:dyDescent="0.3">
      <c r="A2" t="s">
        <v>29</v>
      </c>
      <c r="B2" s="34">
        <v>2767271.17</v>
      </c>
    </row>
    <row r="3" spans="1:4" x14ac:dyDescent="0.3">
      <c r="A3" t="s">
        <v>30</v>
      </c>
      <c r="B3" s="35">
        <v>0</v>
      </c>
    </row>
    <row r="4" spans="1:4" x14ac:dyDescent="0.3">
      <c r="A4" t="s">
        <v>31</v>
      </c>
      <c r="B4" s="34">
        <v>615706.22</v>
      </c>
    </row>
    <row r="5" spans="1:4" x14ac:dyDescent="0.3">
      <c r="A5" t="s">
        <v>32</v>
      </c>
      <c r="B5" s="34">
        <v>-639581.53</v>
      </c>
      <c r="D5" s="35"/>
    </row>
    <row r="6" spans="1:4" x14ac:dyDescent="0.3">
      <c r="A6" t="s">
        <v>33</v>
      </c>
      <c r="B6" s="34">
        <v>537080.42000000004</v>
      </c>
      <c r="C6" t="s">
        <v>62</v>
      </c>
    </row>
    <row r="7" spans="1:4" x14ac:dyDescent="0.3">
      <c r="A7" t="s">
        <v>35</v>
      </c>
      <c r="B7" s="34">
        <f>-1063335.35+115889.95</f>
        <v>-947445.40000000014</v>
      </c>
    </row>
    <row r="8" spans="1:4" x14ac:dyDescent="0.3">
      <c r="A8" t="s">
        <v>36</v>
      </c>
      <c r="B8" s="36">
        <v>222332.9</v>
      </c>
      <c r="C8" t="s">
        <v>37</v>
      </c>
    </row>
    <row r="9" spans="1:4" x14ac:dyDescent="0.3">
      <c r="A9" t="s">
        <v>38</v>
      </c>
      <c r="B9" s="34">
        <v>-222176.7</v>
      </c>
    </row>
    <row r="10" spans="1:4" x14ac:dyDescent="0.3">
      <c r="A10" t="s">
        <v>39</v>
      </c>
      <c r="B10" s="34">
        <v>377.76</v>
      </c>
    </row>
    <row r="11" spans="1:4" x14ac:dyDescent="0.3">
      <c r="A11" t="s">
        <v>40</v>
      </c>
      <c r="B11" s="34">
        <v>-200000</v>
      </c>
      <c r="C11" t="s">
        <v>63</v>
      </c>
    </row>
    <row r="12" spans="1:4" x14ac:dyDescent="0.3">
      <c r="A12" t="s">
        <v>16</v>
      </c>
      <c r="B12" s="34">
        <v>0</v>
      </c>
    </row>
    <row r="13" spans="1:4" x14ac:dyDescent="0.3">
      <c r="A13" t="s">
        <v>42</v>
      </c>
      <c r="B13" s="34"/>
    </row>
    <row r="14" spans="1:4" x14ac:dyDescent="0.3">
      <c r="A14" t="s">
        <v>57</v>
      </c>
      <c r="B14" s="34"/>
    </row>
    <row r="15" spans="1:4" x14ac:dyDescent="0.3">
      <c r="A15" t="s">
        <v>43</v>
      </c>
      <c r="B15" s="37">
        <f>SUM(B2:B14)</f>
        <v>2133564.8399999985</v>
      </c>
    </row>
    <row r="16" spans="1:4" x14ac:dyDescent="0.3">
      <c r="A16" t="s">
        <v>44</v>
      </c>
      <c r="B16" s="34">
        <v>-2133564.84</v>
      </c>
    </row>
    <row r="17" spans="1:3" ht="15" thickBot="1" x14ac:dyDescent="0.35">
      <c r="A17" t="s">
        <v>45</v>
      </c>
      <c r="B17" s="38">
        <f>SUM(B15:B16)</f>
        <v>0</v>
      </c>
    </row>
    <row r="18" spans="1:3" ht="15" thickTop="1" x14ac:dyDescent="0.3">
      <c r="B18" s="39"/>
    </row>
    <row r="19" spans="1:3" x14ac:dyDescent="0.3">
      <c r="A19" t="s">
        <v>29</v>
      </c>
      <c r="B19" s="35">
        <v>3757401.46</v>
      </c>
    </row>
    <row r="20" spans="1:3" x14ac:dyDescent="0.3">
      <c r="A20" t="s">
        <v>56</v>
      </c>
      <c r="B20" s="34">
        <v>755.51</v>
      </c>
    </row>
    <row r="21" spans="1:3" x14ac:dyDescent="0.3">
      <c r="A21" t="s">
        <v>72</v>
      </c>
      <c r="B21" s="34"/>
      <c r="C21" t="s">
        <v>75</v>
      </c>
    </row>
    <row r="22" spans="1:3" x14ac:dyDescent="0.3">
      <c r="A22" t="s">
        <v>46</v>
      </c>
      <c r="B22" s="34">
        <v>-115889.95</v>
      </c>
      <c r="C22" t="s">
        <v>47</v>
      </c>
    </row>
    <row r="23" spans="1:3" x14ac:dyDescent="0.3">
      <c r="A23" t="s">
        <v>33</v>
      </c>
      <c r="B23" s="34"/>
    </row>
    <row r="24" spans="1:3" x14ac:dyDescent="0.3">
      <c r="A24" t="s">
        <v>39</v>
      </c>
      <c r="B24" s="34"/>
    </row>
    <row r="25" spans="1:3" x14ac:dyDescent="0.3">
      <c r="A25" t="s">
        <v>40</v>
      </c>
      <c r="B25" s="34"/>
    </row>
    <row r="26" spans="1:3" x14ac:dyDescent="0.3">
      <c r="A26" t="s">
        <v>48</v>
      </c>
      <c r="B26" s="34">
        <v>130346.16</v>
      </c>
    </row>
    <row r="27" spans="1:3" x14ac:dyDescent="0.3">
      <c r="A27" t="s">
        <v>42</v>
      </c>
      <c r="B27" s="34"/>
    </row>
    <row r="28" spans="1:3" x14ac:dyDescent="0.3">
      <c r="A28" t="s">
        <v>49</v>
      </c>
      <c r="B28" s="34">
        <v>18.38</v>
      </c>
    </row>
    <row r="29" spans="1:3" x14ac:dyDescent="0.3">
      <c r="A29" t="s">
        <v>50</v>
      </c>
      <c r="B29" s="34">
        <v>43.01</v>
      </c>
    </row>
    <row r="30" spans="1:3" x14ac:dyDescent="0.3">
      <c r="A30" t="s">
        <v>57</v>
      </c>
      <c r="B30" s="34"/>
    </row>
    <row r="31" spans="1:3" x14ac:dyDescent="0.3">
      <c r="A31" t="s">
        <v>51</v>
      </c>
      <c r="B31" s="40">
        <f>SUM(B19:B30)</f>
        <v>3772674.5699999994</v>
      </c>
    </row>
    <row r="32" spans="1:3" x14ac:dyDescent="0.3">
      <c r="A32" t="s">
        <v>52</v>
      </c>
      <c r="B32" s="35">
        <v>-3772674.57</v>
      </c>
    </row>
    <row r="33" spans="1:2" ht="15" thickBot="1" x14ac:dyDescent="0.35">
      <c r="A33" t="s">
        <v>45</v>
      </c>
      <c r="B33" s="41">
        <f>SUM(B31:B32)</f>
        <v>0</v>
      </c>
    </row>
    <row r="34" spans="1:2" ht="15" thickTop="1" x14ac:dyDescent="0.3"/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transitionEvaluation="1" transitionEntry="1">
    <pageSetUpPr fitToPage="1"/>
  </sheetPr>
  <dimension ref="A1:H38"/>
  <sheetViews>
    <sheetView tabSelected="1" workbookViewId="0">
      <selection activeCell="A5" sqref="A5"/>
    </sheetView>
  </sheetViews>
  <sheetFormatPr defaultColWidth="9.109375" defaultRowHeight="13.2" x14ac:dyDescent="0.25"/>
  <cols>
    <col min="1" max="1" width="13.5546875" style="66" customWidth="1"/>
    <col min="2" max="2" width="14" style="66" bestFit="1" customWidth="1"/>
    <col min="3" max="3" width="2" style="66" customWidth="1"/>
    <col min="4" max="4" width="10.109375" style="66" customWidth="1"/>
    <col min="5" max="5" width="13.33203125" style="66" bestFit="1" customWidth="1"/>
    <col min="6" max="6" width="15.109375" style="66" customWidth="1"/>
    <col min="7" max="7" width="14.6640625" style="66" customWidth="1"/>
    <col min="8" max="8" width="14.5546875" style="66" bestFit="1" customWidth="1"/>
    <col min="9" max="9" width="18.44140625" style="66" customWidth="1"/>
    <col min="10" max="16384" width="9.109375" style="66"/>
  </cols>
  <sheetData>
    <row r="1" spans="1:8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8" x14ac:dyDescent="0.25">
      <c r="A2" s="97" t="s">
        <v>172</v>
      </c>
      <c r="B2" s="97"/>
      <c r="C2" s="97"/>
      <c r="D2" s="97"/>
      <c r="E2" s="97"/>
      <c r="F2" s="97"/>
      <c r="G2" s="97"/>
      <c r="H2" s="97"/>
    </row>
    <row r="3" spans="1:8" x14ac:dyDescent="0.25">
      <c r="A3" s="97" t="s">
        <v>173</v>
      </c>
      <c r="B3" s="97"/>
      <c r="C3" s="97"/>
      <c r="D3" s="97"/>
      <c r="E3" s="97"/>
      <c r="F3" s="97"/>
      <c r="G3" s="97"/>
      <c r="H3" s="97"/>
    </row>
    <row r="4" spans="1:8" x14ac:dyDescent="0.25">
      <c r="A4" s="97" t="s">
        <v>203</v>
      </c>
      <c r="B4" s="97"/>
      <c r="C4" s="97"/>
      <c r="D4" s="97"/>
      <c r="E4" s="97"/>
      <c r="F4" s="97"/>
      <c r="G4" s="97"/>
      <c r="H4" s="97"/>
    </row>
    <row r="5" spans="1:8" x14ac:dyDescent="0.25">
      <c r="A5" s="67"/>
      <c r="B5" s="67"/>
      <c r="C5" s="67"/>
      <c r="D5" s="67"/>
      <c r="E5" s="67"/>
      <c r="F5" s="67"/>
      <c r="G5" s="67"/>
      <c r="H5" s="67"/>
    </row>
    <row r="6" spans="1:8" x14ac:dyDescent="0.25">
      <c r="A6" s="67"/>
      <c r="B6" s="67"/>
      <c r="C6" s="67"/>
      <c r="D6" s="67"/>
      <c r="E6" s="67"/>
      <c r="F6" s="67"/>
      <c r="G6" s="67"/>
      <c r="H6" s="67"/>
    </row>
    <row r="7" spans="1:8" x14ac:dyDescent="0.25">
      <c r="A7" s="67"/>
      <c r="B7" s="67"/>
      <c r="C7" s="67"/>
      <c r="D7" s="67"/>
      <c r="E7" s="67"/>
      <c r="F7" s="67"/>
      <c r="G7" s="67"/>
      <c r="H7" s="67"/>
    </row>
    <row r="8" spans="1:8" x14ac:dyDescent="0.25">
      <c r="A8" s="68" t="s">
        <v>174</v>
      </c>
      <c r="B8" s="67"/>
      <c r="C8" s="67"/>
      <c r="D8" s="67"/>
      <c r="E8" s="67"/>
      <c r="F8" s="67"/>
      <c r="G8" s="69">
        <v>1155879.31</v>
      </c>
      <c r="H8" s="67"/>
    </row>
    <row r="9" spans="1:8" x14ac:dyDescent="0.25">
      <c r="A9" s="67"/>
      <c r="B9" s="67"/>
      <c r="C9" s="67"/>
      <c r="D9" s="67"/>
      <c r="E9" s="67"/>
      <c r="F9" s="67"/>
      <c r="G9" s="67"/>
      <c r="H9" s="67"/>
    </row>
    <row r="10" spans="1:8" x14ac:dyDescent="0.25">
      <c r="A10" s="68" t="s">
        <v>175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/>
      <c r="B11" s="69"/>
      <c r="C11" s="67"/>
      <c r="D11" s="67"/>
      <c r="E11" s="67"/>
      <c r="F11" s="67"/>
      <c r="G11" s="71"/>
      <c r="H11" s="67"/>
    </row>
    <row r="12" spans="1:8" x14ac:dyDescent="0.25">
      <c r="A12" s="67"/>
      <c r="B12" s="67"/>
      <c r="C12" s="67"/>
      <c r="D12" s="67"/>
      <c r="E12" s="67"/>
      <c r="F12" s="67"/>
      <c r="G12" s="67"/>
      <c r="H12" s="67"/>
    </row>
    <row r="13" spans="1:8" x14ac:dyDescent="0.25">
      <c r="A13" s="67"/>
      <c r="B13" s="67"/>
      <c r="C13" s="67"/>
      <c r="D13" s="67"/>
      <c r="E13" s="67"/>
      <c r="F13" s="67"/>
      <c r="G13" s="67"/>
      <c r="H13" s="67"/>
    </row>
    <row r="14" spans="1:8" x14ac:dyDescent="0.25">
      <c r="A14" s="68" t="s">
        <v>176</v>
      </c>
      <c r="B14" s="67"/>
      <c r="C14" s="67"/>
      <c r="D14" s="67"/>
      <c r="E14" s="67"/>
      <c r="F14" s="67"/>
      <c r="G14" s="67"/>
      <c r="H14" s="67"/>
    </row>
    <row r="15" spans="1:8" x14ac:dyDescent="0.25">
      <c r="A15" s="70"/>
      <c r="B15" s="72"/>
      <c r="C15" s="67"/>
      <c r="D15" s="67"/>
      <c r="E15" s="69"/>
      <c r="F15" s="67"/>
      <c r="G15" s="67"/>
      <c r="H15" s="67"/>
    </row>
    <row r="16" spans="1:8" x14ac:dyDescent="0.25">
      <c r="A16" s="67"/>
      <c r="B16" s="72"/>
      <c r="C16" s="67"/>
      <c r="D16" s="67"/>
      <c r="E16" s="69"/>
      <c r="F16" s="67"/>
      <c r="G16" s="67"/>
      <c r="H16" s="67"/>
    </row>
    <row r="17" spans="1:8" x14ac:dyDescent="0.25">
      <c r="A17" s="73"/>
      <c r="B17" s="72"/>
      <c r="C17" s="73"/>
      <c r="D17" s="73"/>
      <c r="E17" s="69"/>
      <c r="F17" s="73"/>
      <c r="G17" s="73"/>
      <c r="H17" s="73"/>
    </row>
    <row r="18" spans="1:8" x14ac:dyDescent="0.25">
      <c r="A18" s="91"/>
      <c r="B18" s="72"/>
      <c r="C18" s="73"/>
      <c r="D18" s="73"/>
      <c r="E18" s="69"/>
      <c r="F18" s="73"/>
      <c r="G18" s="74"/>
      <c r="H18" s="73"/>
    </row>
    <row r="19" spans="1:8" x14ac:dyDescent="0.25">
      <c r="A19" s="73"/>
      <c r="B19" s="72"/>
      <c r="C19" s="73"/>
      <c r="D19" s="73"/>
      <c r="E19" s="73"/>
      <c r="F19" s="73"/>
      <c r="G19" s="73"/>
      <c r="H19" s="73"/>
    </row>
    <row r="20" spans="1:8" ht="13.8" thickBot="1" x14ac:dyDescent="0.3">
      <c r="A20" s="75" t="s">
        <v>177</v>
      </c>
      <c r="B20" s="72"/>
      <c r="C20" s="73"/>
      <c r="D20" s="73"/>
      <c r="E20" s="73"/>
      <c r="F20" s="73"/>
      <c r="G20" s="76">
        <f>SUM(G8:G19)</f>
        <v>1155879.31</v>
      </c>
      <c r="H20" s="73"/>
    </row>
    <row r="21" spans="1:8" ht="13.8" thickTop="1" x14ac:dyDescent="0.25">
      <c r="A21" s="73"/>
      <c r="B21" s="69"/>
      <c r="C21" s="73"/>
      <c r="D21" s="73"/>
      <c r="E21" s="73"/>
      <c r="F21" s="73"/>
      <c r="G21" s="73"/>
      <c r="H21" s="73"/>
    </row>
    <row r="22" spans="1:8" x14ac:dyDescent="0.25">
      <c r="A22" s="75" t="s">
        <v>178</v>
      </c>
      <c r="B22" s="69"/>
      <c r="C22" s="73"/>
      <c r="D22" s="73"/>
      <c r="E22" s="73"/>
      <c r="F22" s="73"/>
      <c r="G22" s="69">
        <v>1155879.31</v>
      </c>
      <c r="H22" s="73"/>
    </row>
    <row r="23" spans="1:8" x14ac:dyDescent="0.25">
      <c r="A23" s="75" t="s">
        <v>179</v>
      </c>
      <c r="B23" s="73"/>
      <c r="C23" s="73"/>
      <c r="D23" s="73"/>
      <c r="E23" s="73"/>
      <c r="F23" s="73"/>
      <c r="G23" s="69"/>
      <c r="H23" s="73"/>
    </row>
    <row r="24" spans="1:8" x14ac:dyDescent="0.25">
      <c r="A24" s="73"/>
      <c r="B24" s="73"/>
      <c r="C24" s="73"/>
      <c r="D24" s="73"/>
      <c r="E24" s="73"/>
      <c r="F24" s="73"/>
      <c r="G24" s="73"/>
      <c r="H24" s="73"/>
    </row>
    <row r="25" spans="1:8" x14ac:dyDescent="0.25">
      <c r="A25" s="73"/>
      <c r="B25" s="73"/>
      <c r="C25" s="73"/>
      <c r="D25" s="73"/>
      <c r="E25" s="73"/>
      <c r="F25" s="73"/>
      <c r="G25" s="73"/>
      <c r="H25" s="73"/>
    </row>
    <row r="26" spans="1:8" ht="13.8" thickBot="1" x14ac:dyDescent="0.3">
      <c r="A26" s="75" t="s">
        <v>180</v>
      </c>
      <c r="B26" s="73"/>
      <c r="C26" s="73"/>
      <c r="D26" s="73"/>
      <c r="E26" s="73"/>
      <c r="F26" s="73"/>
      <c r="G26" s="77">
        <f>SUM(G22:G25)</f>
        <v>1155879.31</v>
      </c>
      <c r="H26" s="73"/>
    </row>
    <row r="27" spans="1:8" ht="15" thickTop="1" x14ac:dyDescent="0.3">
      <c r="A27" s="73"/>
      <c r="B27" s="73"/>
      <c r="C27" s="73"/>
      <c r="D27" s="73"/>
      <c r="E27" s="73"/>
      <c r="F27" s="73"/>
      <c r="G27" s="78"/>
      <c r="H27" s="73"/>
    </row>
    <row r="28" spans="1:8" x14ac:dyDescent="0.25">
      <c r="A28" s="75" t="s">
        <v>181</v>
      </c>
      <c r="B28" s="73"/>
      <c r="C28" s="73"/>
      <c r="D28" s="73"/>
      <c r="E28" s="73"/>
      <c r="F28" s="73"/>
      <c r="G28" s="79">
        <f>G20-G26</f>
        <v>0</v>
      </c>
      <c r="H28" s="73"/>
    </row>
    <row r="29" spans="1:8" x14ac:dyDescent="0.25">
      <c r="A29" s="73"/>
      <c r="B29" s="73"/>
      <c r="C29" s="73"/>
      <c r="D29" s="73"/>
      <c r="E29" s="73"/>
      <c r="F29" s="73"/>
      <c r="G29" s="73"/>
      <c r="H29" s="73"/>
    </row>
    <row r="30" spans="1:8" ht="11.25" customHeight="1" x14ac:dyDescent="0.25">
      <c r="A30" s="73"/>
      <c r="B30" s="73"/>
      <c r="C30" s="73"/>
      <c r="D30" s="73"/>
      <c r="E30" s="73"/>
      <c r="F30" s="73"/>
      <c r="G30" s="73"/>
      <c r="H30" s="73"/>
    </row>
    <row r="31" spans="1:8" x14ac:dyDescent="0.25">
      <c r="A31" s="80" t="s">
        <v>182</v>
      </c>
      <c r="B31" s="80"/>
      <c r="C31" s="80"/>
      <c r="D31" s="92"/>
      <c r="E31" s="80"/>
      <c r="F31" s="80"/>
      <c r="G31" s="80"/>
      <c r="H31" s="80"/>
    </row>
    <row r="32" spans="1:8" ht="14.4" x14ac:dyDescent="0.3">
      <c r="A32" s="80" t="s">
        <v>183</v>
      </c>
      <c r="B32" s="94">
        <f>1014869.83+290.6+313.54+284.82+266.51+283.15</f>
        <v>1016308.45</v>
      </c>
      <c r="C32" s="80"/>
      <c r="D32" s="82">
        <f>B32/B34</f>
        <v>0.87925135540318644</v>
      </c>
      <c r="E32" s="69">
        <f>D32*0</f>
        <v>0</v>
      </c>
      <c r="F32" s="80"/>
      <c r="G32" s="80"/>
      <c r="H32" s="80"/>
    </row>
    <row r="33" spans="1:8" ht="14.4" x14ac:dyDescent="0.3">
      <c r="A33" s="80" t="s">
        <v>145</v>
      </c>
      <c r="B33" s="94">
        <f>564104.69+161.52-78.5-225000+104.76+94.94+88.84+94.61-200000</f>
        <v>139570.85999999999</v>
      </c>
      <c r="C33" s="80" t="s">
        <v>184</v>
      </c>
      <c r="D33" s="82">
        <f>B33/B34</f>
        <v>0.12074864459681346</v>
      </c>
      <c r="E33" s="69">
        <f>-E32+0</f>
        <v>0</v>
      </c>
      <c r="F33" s="83" t="s">
        <v>198</v>
      </c>
      <c r="G33" s="84">
        <f>E33*1</f>
        <v>0</v>
      </c>
      <c r="H33" s="80"/>
    </row>
    <row r="34" spans="1:8" ht="15" thickBot="1" x14ac:dyDescent="0.35">
      <c r="A34" s="80"/>
      <c r="B34" s="93">
        <f>SUM(B32:B33)</f>
        <v>1155879.31</v>
      </c>
      <c r="C34" s="80"/>
      <c r="D34" s="86">
        <f>SUM(D32:D33)</f>
        <v>0.99999999999999989</v>
      </c>
      <c r="E34" s="87"/>
      <c r="F34" s="83" t="s">
        <v>199</v>
      </c>
      <c r="G34" s="84">
        <f>E33*0</f>
        <v>0</v>
      </c>
      <c r="H34" s="80"/>
    </row>
    <row r="35" spans="1:8" ht="13.8" thickTop="1" x14ac:dyDescent="0.25">
      <c r="A35" s="80"/>
      <c r="B35" s="80"/>
      <c r="C35" s="80"/>
      <c r="D35" s="80"/>
      <c r="E35" s="80"/>
      <c r="F35" s="88"/>
      <c r="G35" s="80"/>
      <c r="H35" s="80"/>
    </row>
    <row r="36" spans="1:8" x14ac:dyDescent="0.25">
      <c r="A36" s="83" t="s">
        <v>187</v>
      </c>
      <c r="B36" s="80"/>
      <c r="C36" s="80"/>
      <c r="D36" s="80"/>
      <c r="E36" s="80"/>
      <c r="F36" s="80"/>
      <c r="G36" s="80"/>
      <c r="H36" s="80"/>
    </row>
    <row r="38" spans="1:8" ht="14.4" x14ac:dyDescent="0.3">
      <c r="A38" s="89">
        <v>0</v>
      </c>
      <c r="B38" s="90">
        <f>A38/B33</f>
        <v>0</v>
      </c>
    </row>
  </sheetData>
  <mergeCells count="4">
    <mergeCell ref="A1:H1"/>
    <mergeCell ref="A2:H2"/>
    <mergeCell ref="A3:H3"/>
    <mergeCell ref="A4:H4"/>
  </mergeCells>
  <pageMargins left="0.54" right="0.45" top="0.52" bottom="0.48" header="0.37" footer="0.22"/>
  <pageSetup fitToHeight="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J43"/>
  <sheetViews>
    <sheetView zoomScaleNormal="100" workbookViewId="0">
      <selection activeCell="B10" sqref="B10"/>
    </sheetView>
  </sheetViews>
  <sheetFormatPr defaultColWidth="9.109375" defaultRowHeight="15" x14ac:dyDescent="0.25"/>
  <cols>
    <col min="1" max="1" width="49.44140625" style="2" bestFit="1" customWidth="1"/>
    <col min="2" max="4" width="19.109375" style="2" customWidth="1"/>
    <col min="5" max="5" width="5.88671875" style="2" customWidth="1"/>
    <col min="6" max="7" width="9.109375" style="2"/>
    <col min="8" max="8" width="15.6640625" style="2" customWidth="1"/>
    <col min="9" max="9" width="3.5546875" style="2" customWidth="1"/>
    <col min="10" max="10" width="15.109375" style="2" bestFit="1" customWidth="1"/>
    <col min="11" max="16384" width="9.109375" style="2"/>
  </cols>
  <sheetData>
    <row r="1" spans="1:10" ht="15.6" x14ac:dyDescent="0.3">
      <c r="A1" s="96" t="s">
        <v>0</v>
      </c>
      <c r="B1" s="96"/>
      <c r="C1" s="96"/>
      <c r="D1" s="96"/>
      <c r="E1" s="1"/>
      <c r="F1" s="1"/>
    </row>
    <row r="2" spans="1:10" ht="15.6" x14ac:dyDescent="0.3">
      <c r="A2" s="96" t="s">
        <v>1</v>
      </c>
      <c r="B2" s="96"/>
      <c r="C2" s="96"/>
      <c r="D2" s="96"/>
      <c r="E2" s="1"/>
      <c r="F2" s="1"/>
    </row>
    <row r="3" spans="1:10" ht="15.6" x14ac:dyDescent="0.3">
      <c r="A3" s="96" t="s">
        <v>74</v>
      </c>
      <c r="B3" s="96"/>
      <c r="C3" s="96"/>
      <c r="D3" s="96"/>
      <c r="E3" s="1"/>
      <c r="F3" s="1"/>
    </row>
    <row r="4" spans="1:10" ht="15.6" x14ac:dyDescent="0.3">
      <c r="A4" s="45"/>
      <c r="B4" s="45"/>
      <c r="C4" s="45"/>
      <c r="D4" s="45"/>
      <c r="E4" s="1"/>
      <c r="F4" s="1"/>
    </row>
    <row r="5" spans="1:10" ht="15.6" x14ac:dyDescent="0.3">
      <c r="A5" s="45"/>
      <c r="B5" s="45"/>
      <c r="C5" s="45"/>
      <c r="D5" s="45"/>
      <c r="E5" s="1"/>
      <c r="F5" s="1"/>
    </row>
    <row r="6" spans="1:10" x14ac:dyDescent="0.25">
      <c r="A6" s="1"/>
      <c r="B6" s="1"/>
      <c r="C6" s="1"/>
      <c r="D6" s="4"/>
      <c r="E6" s="1"/>
      <c r="F6" s="1"/>
    </row>
    <row r="7" spans="1:10" x14ac:dyDescent="0.25">
      <c r="A7" s="1"/>
      <c r="B7" s="1"/>
      <c r="C7" s="1"/>
      <c r="D7" s="1"/>
      <c r="E7" s="1"/>
      <c r="F7" s="1"/>
      <c r="G7" s="5"/>
      <c r="H7" s="5"/>
      <c r="I7" s="5"/>
      <c r="J7" s="5"/>
    </row>
    <row r="8" spans="1:10" ht="15.6" x14ac:dyDescent="0.3">
      <c r="A8" s="6"/>
      <c r="B8" s="7"/>
      <c r="C8" s="7"/>
      <c r="D8" s="8"/>
      <c r="E8" s="1"/>
      <c r="F8" s="1"/>
      <c r="G8" s="5"/>
      <c r="H8" s="9"/>
      <c r="I8" s="5"/>
      <c r="J8" s="9"/>
    </row>
    <row r="9" spans="1:10" ht="15.6" x14ac:dyDescent="0.3">
      <c r="A9" s="6" t="s">
        <v>3</v>
      </c>
      <c r="B9" s="7">
        <v>261712.28</v>
      </c>
      <c r="C9" s="7"/>
      <c r="D9" s="8"/>
      <c r="E9" s="1"/>
      <c r="F9" s="1"/>
      <c r="G9" s="5"/>
      <c r="H9" s="9"/>
      <c r="I9" s="5"/>
      <c r="J9" s="9"/>
    </row>
    <row r="10" spans="1:10" ht="15.6" x14ac:dyDescent="0.3">
      <c r="A10" s="6" t="s">
        <v>4</v>
      </c>
      <c r="B10" s="10">
        <f>211446.28-24779.88+78.5-111574.11-91733.52+58333.33-161400.29</f>
        <v>-119629.69000000002</v>
      </c>
      <c r="C10" s="10"/>
      <c r="D10" s="8"/>
      <c r="E10" s="1"/>
      <c r="F10" s="1"/>
      <c r="G10" s="5"/>
      <c r="H10" s="9"/>
      <c r="I10" s="5"/>
      <c r="J10" s="9"/>
    </row>
    <row r="11" spans="1:10" ht="15.6" x14ac:dyDescent="0.3">
      <c r="A11" s="6" t="s">
        <v>5</v>
      </c>
      <c r="B11" s="10">
        <v>0</v>
      </c>
      <c r="C11" s="11"/>
      <c r="D11" s="8"/>
      <c r="E11" s="1"/>
      <c r="F11" s="1"/>
      <c r="H11" s="12"/>
    </row>
    <row r="12" spans="1:10" ht="15.6" x14ac:dyDescent="0.3">
      <c r="A12" s="6" t="s">
        <v>6</v>
      </c>
      <c r="B12" s="10">
        <v>2610992.12</v>
      </c>
      <c r="C12" s="11"/>
      <c r="D12" s="8"/>
      <c r="E12" s="1"/>
      <c r="F12" s="1"/>
      <c r="H12" s="12"/>
    </row>
    <row r="13" spans="1:10" ht="15.6" x14ac:dyDescent="0.3">
      <c r="A13" s="6" t="s">
        <v>7</v>
      </c>
      <c r="B13" s="10">
        <v>299452.83</v>
      </c>
      <c r="C13" s="11"/>
      <c r="D13" s="8"/>
      <c r="E13" s="1"/>
      <c r="F13" s="1"/>
      <c r="H13" s="12"/>
    </row>
    <row r="14" spans="1:10" ht="15.6" x14ac:dyDescent="0.3">
      <c r="A14" s="6" t="s">
        <v>8</v>
      </c>
      <c r="B14" s="10">
        <v>700858.77</v>
      </c>
      <c r="C14" s="11"/>
      <c r="D14" s="8"/>
      <c r="E14" s="1"/>
      <c r="F14" s="1"/>
      <c r="H14" s="12"/>
    </row>
    <row r="15" spans="1:10" ht="15.6" x14ac:dyDescent="0.3">
      <c r="A15" s="6" t="s">
        <v>55</v>
      </c>
      <c r="B15" s="13">
        <v>4015.15</v>
      </c>
      <c r="C15" s="14"/>
      <c r="D15" s="8"/>
      <c r="E15" s="1"/>
      <c r="F15" s="1"/>
      <c r="H15" s="12"/>
    </row>
    <row r="16" spans="1:10" ht="15.6" x14ac:dyDescent="0.3">
      <c r="A16" s="15" t="s">
        <v>9</v>
      </c>
      <c r="B16" s="7"/>
      <c r="C16" s="7">
        <f>SUM(B8:B15)</f>
        <v>3757401.46</v>
      </c>
      <c r="D16" s="8"/>
      <c r="E16" s="1"/>
      <c r="F16" s="1"/>
      <c r="G16" s="5"/>
      <c r="H16" s="16"/>
      <c r="I16" s="17"/>
      <c r="J16" s="16"/>
    </row>
    <row r="17" spans="1:8" x14ac:dyDescent="0.25">
      <c r="A17" s="1"/>
      <c r="B17" s="7"/>
      <c r="C17" s="7"/>
      <c r="D17" s="8"/>
      <c r="E17" s="1"/>
      <c r="F17" s="1"/>
    </row>
    <row r="18" spans="1:8" ht="15.6" x14ac:dyDescent="0.3">
      <c r="A18" s="6" t="s">
        <v>10</v>
      </c>
      <c r="B18" s="18">
        <v>409206.05</v>
      </c>
      <c r="C18" s="7"/>
      <c r="D18" s="8"/>
      <c r="E18" s="1"/>
      <c r="F18" s="1"/>
      <c r="H18" s="12"/>
    </row>
    <row r="19" spans="1:8" ht="15.6" x14ac:dyDescent="0.3">
      <c r="A19" s="6" t="s">
        <v>11</v>
      </c>
      <c r="B19" s="7">
        <f>-B10+868716.48</f>
        <v>988346.17</v>
      </c>
      <c r="C19" s="10"/>
      <c r="D19" s="8"/>
      <c r="E19" s="1"/>
      <c r="F19" s="1"/>
      <c r="H19" s="12"/>
    </row>
    <row r="20" spans="1:8" ht="15.6" x14ac:dyDescent="0.3">
      <c r="A20" s="6" t="s">
        <v>12</v>
      </c>
      <c r="B20" s="7">
        <f>-B11+1355501.55</f>
        <v>1355501.55</v>
      </c>
      <c r="C20" s="11"/>
      <c r="D20" s="8"/>
      <c r="E20" s="1"/>
      <c r="F20" s="1"/>
      <c r="H20" s="12"/>
    </row>
    <row r="21" spans="1:8" ht="15.6" x14ac:dyDescent="0.3">
      <c r="A21" s="6" t="s">
        <v>13</v>
      </c>
      <c r="B21" s="19">
        <f>2800+1665+9752.4</f>
        <v>14217.4</v>
      </c>
      <c r="C21" s="13"/>
      <c r="D21" s="8"/>
      <c r="E21" s="1"/>
      <c r="F21" s="1"/>
      <c r="H21" s="12"/>
    </row>
    <row r="22" spans="1:8" ht="15.6" x14ac:dyDescent="0.3">
      <c r="A22" s="6" t="s">
        <v>14</v>
      </c>
      <c r="B22" s="10"/>
      <c r="C22" s="10">
        <f>SUM(B18:B21)</f>
        <v>2767271.17</v>
      </c>
      <c r="D22" s="8"/>
      <c r="E22" s="1"/>
      <c r="F22" s="1"/>
      <c r="H22" s="12"/>
    </row>
    <row r="23" spans="1:8" ht="6" customHeight="1" x14ac:dyDescent="0.3">
      <c r="A23" s="6"/>
      <c r="B23" s="10"/>
      <c r="C23" s="10"/>
      <c r="D23" s="8"/>
      <c r="E23" s="1"/>
      <c r="F23" s="1"/>
      <c r="H23" s="12"/>
    </row>
    <row r="24" spans="1:8" ht="15.6" x14ac:dyDescent="0.3">
      <c r="A24" s="6" t="s">
        <v>15</v>
      </c>
      <c r="B24" s="7"/>
      <c r="C24" s="20">
        <f>C16+C22</f>
        <v>6524672.6299999999</v>
      </c>
      <c r="D24" s="8"/>
      <c r="E24" s="1"/>
      <c r="F24" s="1"/>
      <c r="H24" s="12"/>
    </row>
    <row r="25" spans="1:8" ht="6" customHeight="1" x14ac:dyDescent="0.25">
      <c r="A25" s="1"/>
      <c r="B25" s="7"/>
      <c r="C25" s="7"/>
      <c r="D25" s="8"/>
      <c r="E25" s="1"/>
      <c r="F25" s="1"/>
    </row>
    <row r="26" spans="1:8" ht="15.6" x14ac:dyDescent="0.3">
      <c r="A26" s="6" t="s">
        <v>16</v>
      </c>
      <c r="B26" s="7"/>
      <c r="C26" s="10">
        <v>0</v>
      </c>
      <c r="D26" s="21"/>
      <c r="E26" s="1"/>
      <c r="F26" s="1"/>
      <c r="H26" s="22"/>
    </row>
    <row r="27" spans="1:8" ht="6" customHeight="1" x14ac:dyDescent="0.3">
      <c r="A27" s="6"/>
      <c r="B27" s="10"/>
      <c r="C27" s="10"/>
      <c r="D27" s="21"/>
      <c r="E27" s="1"/>
      <c r="F27" s="1"/>
      <c r="H27" s="22"/>
    </row>
    <row r="28" spans="1:8" ht="16.2" thickBot="1" x14ac:dyDescent="0.35">
      <c r="A28" s="6" t="s">
        <v>17</v>
      </c>
      <c r="B28" s="7"/>
      <c r="C28" s="23">
        <f>C16+B30</f>
        <v>6524672.6299999999</v>
      </c>
      <c r="E28" s="1"/>
      <c r="F28" s="1"/>
      <c r="H28" s="22"/>
    </row>
    <row r="29" spans="1:8" ht="15.6" thickTop="1" x14ac:dyDescent="0.25">
      <c r="A29" s="1"/>
      <c r="B29" s="1"/>
      <c r="C29" s="1"/>
      <c r="D29" s="1"/>
      <c r="E29" s="1"/>
      <c r="F29" s="1"/>
    </row>
    <row r="30" spans="1:8" ht="16.2" thickBot="1" x14ac:dyDescent="0.35">
      <c r="A30" s="24" t="s">
        <v>18</v>
      </c>
      <c r="B30" s="25">
        <f>C22+C26</f>
        <v>2767271.17</v>
      </c>
      <c r="C30" s="26"/>
      <c r="D30" s="27"/>
      <c r="E30" s="26"/>
      <c r="F30" s="26"/>
    </row>
    <row r="31" spans="1:8" ht="16.2" thickTop="1" x14ac:dyDescent="0.3">
      <c r="A31" s="24"/>
      <c r="B31" s="10"/>
      <c r="C31" s="26"/>
      <c r="D31" s="27"/>
      <c r="E31" s="26"/>
      <c r="F31" s="26"/>
    </row>
    <row r="32" spans="1:8" ht="5.25" customHeight="1" x14ac:dyDescent="0.3">
      <c r="A32" s="24"/>
      <c r="B32" s="10"/>
      <c r="C32" s="26"/>
      <c r="D32" s="27"/>
      <c r="E32" s="26"/>
      <c r="F32" s="26"/>
    </row>
    <row r="33" spans="1:6" ht="15.6" x14ac:dyDescent="0.3">
      <c r="A33" s="28" t="s">
        <v>78</v>
      </c>
      <c r="B33" s="1"/>
      <c r="C33" s="1"/>
      <c r="D33" s="1"/>
      <c r="E33" s="1"/>
      <c r="F33" s="1"/>
    </row>
    <row r="34" spans="1:6" ht="15.6" x14ac:dyDescent="0.3">
      <c r="A34" s="29" t="s">
        <v>77</v>
      </c>
      <c r="B34" s="1"/>
      <c r="C34" s="1"/>
      <c r="D34" s="1"/>
      <c r="E34" s="1"/>
      <c r="F34" s="1"/>
    </row>
    <row r="35" spans="1:6" ht="15.6" x14ac:dyDescent="0.3">
      <c r="A35" s="6" t="s">
        <v>76</v>
      </c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ht="15.6" x14ac:dyDescent="0.3">
      <c r="A37" s="6" t="s">
        <v>22</v>
      </c>
      <c r="B37" s="1"/>
      <c r="C37" s="1"/>
      <c r="D37" s="1"/>
      <c r="E37" s="1"/>
      <c r="F37" s="1"/>
    </row>
    <row r="38" spans="1:6" ht="15.6" x14ac:dyDescent="0.3">
      <c r="A38" s="6" t="s">
        <v>23</v>
      </c>
      <c r="B38" s="7">
        <f>14969.75+8981.51</f>
        <v>23951.260000000002</v>
      </c>
      <c r="C38" s="10"/>
      <c r="D38" s="1"/>
      <c r="E38" s="1"/>
      <c r="F38" s="1"/>
    </row>
    <row r="39" spans="1:6" ht="15.6" hidden="1" x14ac:dyDescent="0.3">
      <c r="A39" s="6" t="s">
        <v>25</v>
      </c>
      <c r="B39" s="7"/>
      <c r="C39" s="10"/>
      <c r="D39" s="1"/>
      <c r="E39" s="1"/>
      <c r="F39" s="1"/>
    </row>
    <row r="40" spans="1:6" ht="15.6" x14ac:dyDescent="0.3">
      <c r="A40" s="6" t="s">
        <v>26</v>
      </c>
      <c r="B40" s="7">
        <v>113322.3</v>
      </c>
      <c r="C40" s="10"/>
      <c r="D40" s="1"/>
      <c r="E40" s="1"/>
      <c r="F40" s="1"/>
    </row>
    <row r="41" spans="1:6" ht="15.6" x14ac:dyDescent="0.3">
      <c r="A41" s="6" t="s">
        <v>73</v>
      </c>
      <c r="B41" s="7">
        <v>581558</v>
      </c>
      <c r="C41" s="10"/>
      <c r="D41" s="1"/>
      <c r="E41" s="1"/>
      <c r="F41" s="1"/>
    </row>
    <row r="42" spans="1:6" ht="15.6" thickBot="1" x14ac:dyDescent="0.3">
      <c r="A42" s="1"/>
      <c r="B42" s="30">
        <f>SUM(B38:B41)</f>
        <v>718831.56</v>
      </c>
      <c r="C42" s="31"/>
      <c r="D42" s="1"/>
      <c r="E42" s="1"/>
      <c r="F42" s="1"/>
    </row>
    <row r="43" spans="1:6" ht="15.6" thickTop="1" x14ac:dyDescent="0.25">
      <c r="A43" s="1"/>
      <c r="B43" s="1"/>
      <c r="C43" s="32"/>
      <c r="D43" s="1"/>
      <c r="E43" s="1"/>
      <c r="F43" s="1"/>
    </row>
  </sheetData>
  <mergeCells count="3">
    <mergeCell ref="A1:D1"/>
    <mergeCell ref="A2:D2"/>
    <mergeCell ref="A3:D3"/>
  </mergeCells>
  <pageMargins left="0.45" right="0.2" top="0.75" bottom="0.75" header="0.3" footer="0.3"/>
  <pageSetup scale="8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D34"/>
  <sheetViews>
    <sheetView workbookViewId="0">
      <selection activeCell="B6" sqref="B6"/>
    </sheetView>
  </sheetViews>
  <sheetFormatPr defaultRowHeight="14.4" x14ac:dyDescent="0.3"/>
  <cols>
    <col min="1" max="1" width="26.33203125" customWidth="1"/>
    <col min="2" max="2" width="14.6640625" bestFit="1" customWidth="1"/>
    <col min="6" max="6" width="11.88671875" customWidth="1"/>
  </cols>
  <sheetData>
    <row r="1" spans="1:4" x14ac:dyDescent="0.3">
      <c r="A1" s="33" t="s">
        <v>79</v>
      </c>
    </row>
    <row r="2" spans="1:4" x14ac:dyDescent="0.3">
      <c r="A2" t="s">
        <v>29</v>
      </c>
      <c r="B2" s="34">
        <v>2720091.32</v>
      </c>
    </row>
    <row r="3" spans="1:4" x14ac:dyDescent="0.3">
      <c r="A3" t="s">
        <v>30</v>
      </c>
      <c r="B3" s="35">
        <v>0</v>
      </c>
    </row>
    <row r="4" spans="1:4" x14ac:dyDescent="0.3">
      <c r="A4" t="s">
        <v>31</v>
      </c>
      <c r="B4" s="34">
        <v>688934.32</v>
      </c>
    </row>
    <row r="5" spans="1:4" x14ac:dyDescent="0.3">
      <c r="A5" t="s">
        <v>32</v>
      </c>
      <c r="B5" s="34">
        <v>-580278.72</v>
      </c>
      <c r="D5" s="35"/>
    </row>
    <row r="6" spans="1:4" x14ac:dyDescent="0.3">
      <c r="A6" t="s">
        <v>33</v>
      </c>
      <c r="B6" s="34">
        <v>173236.61</v>
      </c>
      <c r="C6" t="s">
        <v>62</v>
      </c>
    </row>
    <row r="7" spans="1:4" x14ac:dyDescent="0.3">
      <c r="A7" t="s">
        <v>35</v>
      </c>
      <c r="B7" s="34">
        <f>-594418.69+-B22</f>
        <v>-433018.39999999991</v>
      </c>
      <c r="C7" t="s">
        <v>134</v>
      </c>
    </row>
    <row r="8" spans="1:4" x14ac:dyDescent="0.3">
      <c r="A8" t="s">
        <v>36</v>
      </c>
      <c r="B8" s="36">
        <v>217198.22</v>
      </c>
      <c r="C8" t="s">
        <v>37</v>
      </c>
    </row>
    <row r="9" spans="1:4" x14ac:dyDescent="0.3">
      <c r="A9" t="s">
        <v>38</v>
      </c>
      <c r="B9" s="34">
        <v>-252027.96</v>
      </c>
    </row>
    <row r="10" spans="1:4" x14ac:dyDescent="0.3">
      <c r="A10" t="s">
        <v>39</v>
      </c>
      <c r="B10" s="34">
        <v>355.35</v>
      </c>
    </row>
    <row r="11" spans="1:4" x14ac:dyDescent="0.3">
      <c r="A11" t="s">
        <v>40</v>
      </c>
      <c r="B11" s="34"/>
      <c r="C11" t="s">
        <v>63</v>
      </c>
    </row>
    <row r="12" spans="1:4" x14ac:dyDescent="0.3">
      <c r="A12" t="s">
        <v>16</v>
      </c>
      <c r="B12" s="34">
        <v>0</v>
      </c>
    </row>
    <row r="13" spans="1:4" x14ac:dyDescent="0.3">
      <c r="A13" t="s">
        <v>42</v>
      </c>
      <c r="B13" s="34">
        <f>155000+77780.43</f>
        <v>232780.43</v>
      </c>
    </row>
    <row r="14" spans="1:4" x14ac:dyDescent="0.3">
      <c r="A14" t="s">
        <v>57</v>
      </c>
      <c r="B14" s="34"/>
    </row>
    <row r="15" spans="1:4" x14ac:dyDescent="0.3">
      <c r="A15" t="s">
        <v>43</v>
      </c>
      <c r="B15" s="37">
        <f>SUM(B2:B14)</f>
        <v>2767271.1700000004</v>
      </c>
    </row>
    <row r="16" spans="1:4" x14ac:dyDescent="0.3">
      <c r="A16" t="s">
        <v>44</v>
      </c>
      <c r="B16" s="34">
        <v>-2767271.17</v>
      </c>
    </row>
    <row r="17" spans="1:3" ht="15" thickBot="1" x14ac:dyDescent="0.35">
      <c r="A17" t="s">
        <v>45</v>
      </c>
      <c r="B17" s="38">
        <f>SUM(B15:B16)</f>
        <v>0</v>
      </c>
    </row>
    <row r="18" spans="1:3" ht="15" thickTop="1" x14ac:dyDescent="0.3">
      <c r="B18" s="39"/>
    </row>
    <row r="19" spans="1:3" x14ac:dyDescent="0.3">
      <c r="A19" t="s">
        <v>29</v>
      </c>
      <c r="B19" s="35">
        <v>3964224.01</v>
      </c>
    </row>
    <row r="20" spans="1:3" x14ac:dyDescent="0.3">
      <c r="A20" t="s">
        <v>56</v>
      </c>
      <c r="B20" s="34">
        <v>651.77</v>
      </c>
    </row>
    <row r="21" spans="1:3" x14ac:dyDescent="0.3">
      <c r="A21" t="s">
        <v>72</v>
      </c>
      <c r="B21" s="34">
        <v>148213.96</v>
      </c>
      <c r="C21" t="s">
        <v>75</v>
      </c>
    </row>
    <row r="22" spans="1:3" x14ac:dyDescent="0.3">
      <c r="A22" t="s">
        <v>46</v>
      </c>
      <c r="B22" s="34">
        <v>-161400.29</v>
      </c>
      <c r="C22" t="s">
        <v>47</v>
      </c>
    </row>
    <row r="23" spans="1:3" x14ac:dyDescent="0.3">
      <c r="A23" t="s">
        <v>33</v>
      </c>
      <c r="B23" s="34"/>
    </row>
    <row r="24" spans="1:3" x14ac:dyDescent="0.3">
      <c r="A24" t="s">
        <v>39</v>
      </c>
      <c r="B24" s="34"/>
    </row>
    <row r="25" spans="1:3" x14ac:dyDescent="0.3">
      <c r="A25" t="s">
        <v>40</v>
      </c>
      <c r="B25" s="34"/>
    </row>
    <row r="26" spans="1:3" x14ac:dyDescent="0.3">
      <c r="A26" t="s">
        <v>48</v>
      </c>
      <c r="B26" s="34">
        <v>38424.47</v>
      </c>
    </row>
    <row r="27" spans="1:3" x14ac:dyDescent="0.3">
      <c r="A27" t="s">
        <v>42</v>
      </c>
      <c r="B27" s="34">
        <f>-B13</f>
        <v>-232780.43</v>
      </c>
    </row>
    <row r="28" spans="1:3" x14ac:dyDescent="0.3">
      <c r="A28" t="s">
        <v>49</v>
      </c>
      <c r="B28" s="34">
        <v>20.350000000000001</v>
      </c>
    </row>
    <row r="29" spans="1:3" x14ac:dyDescent="0.3">
      <c r="A29" t="s">
        <v>50</v>
      </c>
      <c r="B29" s="34">
        <v>47.62</v>
      </c>
    </row>
    <row r="30" spans="1:3" x14ac:dyDescent="0.3">
      <c r="A30" t="s">
        <v>57</v>
      </c>
      <c r="B30" s="34"/>
    </row>
    <row r="31" spans="1:3" x14ac:dyDescent="0.3">
      <c r="A31" t="s">
        <v>51</v>
      </c>
      <c r="B31" s="40">
        <f>SUM(B19:B30)</f>
        <v>3757401.46</v>
      </c>
    </row>
    <row r="32" spans="1:3" x14ac:dyDescent="0.3">
      <c r="A32" t="s">
        <v>52</v>
      </c>
      <c r="B32" s="35">
        <v>-3757401.46</v>
      </c>
    </row>
    <row r="33" spans="1:2" ht="15" thickBot="1" x14ac:dyDescent="0.35">
      <c r="A33" t="s">
        <v>45</v>
      </c>
      <c r="B33" s="42">
        <f>SUM(B31:B32)</f>
        <v>0</v>
      </c>
    </row>
    <row r="34" spans="1:2" ht="15" thickTop="1" x14ac:dyDescent="0.3"/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transitionEvaluation="1" transitionEntry="1">
    <pageSetUpPr fitToPage="1"/>
  </sheetPr>
  <dimension ref="A1:H38"/>
  <sheetViews>
    <sheetView workbookViewId="0">
      <selection activeCell="A5" sqref="A5"/>
    </sheetView>
  </sheetViews>
  <sheetFormatPr defaultColWidth="9.109375" defaultRowHeight="13.2" x14ac:dyDescent="0.25"/>
  <cols>
    <col min="1" max="1" width="13.5546875" style="66" customWidth="1"/>
    <col min="2" max="2" width="14" style="66" bestFit="1" customWidth="1"/>
    <col min="3" max="3" width="2" style="66" customWidth="1"/>
    <col min="4" max="4" width="10.109375" style="66" customWidth="1"/>
    <col min="5" max="5" width="13.33203125" style="66" bestFit="1" customWidth="1"/>
    <col min="6" max="6" width="15.109375" style="66" customWidth="1"/>
    <col min="7" max="7" width="14.6640625" style="66" customWidth="1"/>
    <col min="8" max="8" width="14.5546875" style="66" bestFit="1" customWidth="1"/>
    <col min="9" max="9" width="18.44140625" style="66" customWidth="1"/>
    <col min="10" max="16384" width="9.109375" style="66"/>
  </cols>
  <sheetData>
    <row r="1" spans="1:8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8" x14ac:dyDescent="0.25">
      <c r="A2" s="97" t="s">
        <v>172</v>
      </c>
      <c r="B2" s="97"/>
      <c r="C2" s="97"/>
      <c r="D2" s="97"/>
      <c r="E2" s="97"/>
      <c r="F2" s="97"/>
      <c r="G2" s="97"/>
      <c r="H2" s="97"/>
    </row>
    <row r="3" spans="1:8" x14ac:dyDescent="0.25">
      <c r="A3" s="97" t="s">
        <v>173</v>
      </c>
      <c r="B3" s="97"/>
      <c r="C3" s="97"/>
      <c r="D3" s="97"/>
      <c r="E3" s="97"/>
      <c r="F3" s="97"/>
      <c r="G3" s="97"/>
      <c r="H3" s="97"/>
    </row>
    <row r="4" spans="1:8" x14ac:dyDescent="0.25">
      <c r="A4" s="97" t="s">
        <v>204</v>
      </c>
      <c r="B4" s="97"/>
      <c r="C4" s="97"/>
      <c r="D4" s="97"/>
      <c r="E4" s="97"/>
      <c r="F4" s="97"/>
      <c r="G4" s="97"/>
      <c r="H4" s="97"/>
    </row>
    <row r="5" spans="1:8" x14ac:dyDescent="0.25">
      <c r="A5" s="67"/>
      <c r="B5" s="67"/>
      <c r="C5" s="67"/>
      <c r="D5" s="67"/>
      <c r="E5" s="67"/>
      <c r="F5" s="67"/>
      <c r="G5" s="67"/>
      <c r="H5" s="67"/>
    </row>
    <row r="6" spans="1:8" x14ac:dyDescent="0.25">
      <c r="A6" s="67"/>
      <c r="B6" s="67"/>
      <c r="C6" s="67"/>
      <c r="D6" s="67"/>
      <c r="E6" s="67"/>
      <c r="F6" s="67"/>
      <c r="G6" s="67"/>
      <c r="H6" s="67"/>
    </row>
    <row r="7" spans="1:8" x14ac:dyDescent="0.25">
      <c r="A7" s="67"/>
      <c r="B7" s="67"/>
      <c r="C7" s="67"/>
      <c r="D7" s="67"/>
      <c r="E7" s="67"/>
      <c r="F7" s="67"/>
      <c r="G7" s="67"/>
      <c r="H7" s="67"/>
    </row>
    <row r="8" spans="1:8" x14ac:dyDescent="0.25">
      <c r="A8" s="68" t="s">
        <v>174</v>
      </c>
      <c r="B8" s="67"/>
      <c r="C8" s="67"/>
      <c r="D8" s="67"/>
      <c r="E8" s="67"/>
      <c r="F8" s="67"/>
      <c r="G8" s="69">
        <v>1355501.55</v>
      </c>
      <c r="H8" s="67"/>
    </row>
    <row r="9" spans="1:8" x14ac:dyDescent="0.25">
      <c r="A9" s="67"/>
      <c r="B9" s="67"/>
      <c r="C9" s="67"/>
      <c r="D9" s="67"/>
      <c r="E9" s="67"/>
      <c r="F9" s="67"/>
      <c r="G9" s="67"/>
      <c r="H9" s="67"/>
    </row>
    <row r="10" spans="1:8" x14ac:dyDescent="0.25">
      <c r="A10" s="68" t="s">
        <v>175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/>
      <c r="B11" s="69"/>
      <c r="C11" s="67"/>
      <c r="D11" s="67"/>
      <c r="E11" s="67"/>
      <c r="F11" s="67"/>
      <c r="G11" s="71"/>
      <c r="H11" s="67"/>
    </row>
    <row r="12" spans="1:8" x14ac:dyDescent="0.25">
      <c r="A12" s="67"/>
      <c r="B12" s="67"/>
      <c r="C12" s="67"/>
      <c r="D12" s="67"/>
      <c r="E12" s="67"/>
      <c r="F12" s="67"/>
      <c r="G12" s="67"/>
      <c r="H12" s="67"/>
    </row>
    <row r="13" spans="1:8" x14ac:dyDescent="0.25">
      <c r="A13" s="67"/>
      <c r="B13" s="67"/>
      <c r="C13" s="67"/>
      <c r="D13" s="67"/>
      <c r="E13" s="67"/>
      <c r="F13" s="67"/>
      <c r="G13" s="67"/>
      <c r="H13" s="67"/>
    </row>
    <row r="14" spans="1:8" x14ac:dyDescent="0.25">
      <c r="A14" s="68" t="s">
        <v>176</v>
      </c>
      <c r="B14" s="67"/>
      <c r="C14" s="67"/>
      <c r="D14" s="67"/>
      <c r="E14" s="67"/>
      <c r="F14" s="67"/>
      <c r="G14" s="67"/>
      <c r="H14" s="67"/>
    </row>
    <row r="15" spans="1:8" x14ac:dyDescent="0.25">
      <c r="A15" s="70"/>
      <c r="B15" s="72"/>
      <c r="C15" s="67"/>
      <c r="D15" s="67"/>
      <c r="E15" s="69"/>
      <c r="F15" s="67"/>
      <c r="G15" s="67"/>
      <c r="H15" s="67"/>
    </row>
    <row r="16" spans="1:8" x14ac:dyDescent="0.25">
      <c r="A16" s="67"/>
      <c r="B16" s="72"/>
      <c r="C16" s="67"/>
      <c r="D16" s="67"/>
      <c r="E16" s="69"/>
      <c r="F16" s="67"/>
      <c r="G16" s="67"/>
      <c r="H16" s="67"/>
    </row>
    <row r="17" spans="1:8" x14ac:dyDescent="0.25">
      <c r="A17" s="73"/>
      <c r="B17" s="72"/>
      <c r="C17" s="73"/>
      <c r="D17" s="73"/>
      <c r="E17" s="69"/>
      <c r="F17" s="73"/>
      <c r="G17" s="73"/>
      <c r="H17" s="73"/>
    </row>
    <row r="18" spans="1:8" x14ac:dyDescent="0.25">
      <c r="A18" s="91"/>
      <c r="B18" s="72"/>
      <c r="C18" s="73"/>
      <c r="D18" s="73"/>
      <c r="E18" s="69"/>
      <c r="F18" s="73"/>
      <c r="G18" s="74"/>
      <c r="H18" s="73"/>
    </row>
    <row r="19" spans="1:8" x14ac:dyDescent="0.25">
      <c r="A19" s="73"/>
      <c r="B19" s="72"/>
      <c r="C19" s="73"/>
      <c r="D19" s="73"/>
      <c r="E19" s="73"/>
      <c r="F19" s="73"/>
      <c r="G19" s="73"/>
      <c r="H19" s="73"/>
    </row>
    <row r="20" spans="1:8" ht="13.8" thickBot="1" x14ac:dyDescent="0.3">
      <c r="A20" s="75" t="s">
        <v>177</v>
      </c>
      <c r="B20" s="72"/>
      <c r="C20" s="73"/>
      <c r="D20" s="73"/>
      <c r="E20" s="73"/>
      <c r="F20" s="73"/>
      <c r="G20" s="76">
        <f>SUM(G8:G19)</f>
        <v>1355501.55</v>
      </c>
      <c r="H20" s="73"/>
    </row>
    <row r="21" spans="1:8" ht="13.8" thickTop="1" x14ac:dyDescent="0.25">
      <c r="A21" s="73"/>
      <c r="B21" s="69"/>
      <c r="C21" s="73"/>
      <c r="D21" s="73"/>
      <c r="E21" s="73"/>
      <c r="F21" s="73"/>
      <c r="G21" s="73"/>
      <c r="H21" s="73"/>
    </row>
    <row r="22" spans="1:8" x14ac:dyDescent="0.25">
      <c r="A22" s="75" t="s">
        <v>178</v>
      </c>
      <c r="B22" s="69"/>
      <c r="C22" s="73"/>
      <c r="D22" s="73"/>
      <c r="E22" s="73"/>
      <c r="F22" s="73"/>
      <c r="G22" s="69">
        <v>1355501.55</v>
      </c>
      <c r="H22" s="73"/>
    </row>
    <row r="23" spans="1:8" x14ac:dyDescent="0.25">
      <c r="A23" s="75" t="s">
        <v>179</v>
      </c>
      <c r="B23" s="73"/>
      <c r="C23" s="73"/>
      <c r="D23" s="73"/>
      <c r="E23" s="73"/>
      <c r="F23" s="73"/>
      <c r="G23" s="69"/>
      <c r="H23" s="73"/>
    </row>
    <row r="24" spans="1:8" x14ac:dyDescent="0.25">
      <c r="A24" s="73"/>
      <c r="B24" s="73"/>
      <c r="C24" s="73"/>
      <c r="D24" s="73"/>
      <c r="E24" s="73"/>
      <c r="F24" s="73"/>
      <c r="G24" s="73"/>
      <c r="H24" s="73"/>
    </row>
    <row r="25" spans="1:8" x14ac:dyDescent="0.25">
      <c r="A25" s="73"/>
      <c r="B25" s="73"/>
      <c r="C25" s="73"/>
      <c r="D25" s="73"/>
      <c r="E25" s="73"/>
      <c r="F25" s="73"/>
      <c r="G25" s="73"/>
      <c r="H25" s="73"/>
    </row>
    <row r="26" spans="1:8" ht="13.8" thickBot="1" x14ac:dyDescent="0.3">
      <c r="A26" s="75" t="s">
        <v>180</v>
      </c>
      <c r="B26" s="73"/>
      <c r="C26" s="73"/>
      <c r="D26" s="73"/>
      <c r="E26" s="73"/>
      <c r="F26" s="73"/>
      <c r="G26" s="77">
        <f>SUM(G22:G25)</f>
        <v>1355501.55</v>
      </c>
      <c r="H26" s="73"/>
    </row>
    <row r="27" spans="1:8" ht="15" thickTop="1" x14ac:dyDescent="0.3">
      <c r="A27" s="73"/>
      <c r="B27" s="73"/>
      <c r="C27" s="73"/>
      <c r="D27" s="73"/>
      <c r="E27" s="73"/>
      <c r="F27" s="73"/>
      <c r="G27" s="78"/>
      <c r="H27" s="73"/>
    </row>
    <row r="28" spans="1:8" x14ac:dyDescent="0.25">
      <c r="A28" s="75" t="s">
        <v>181</v>
      </c>
      <c r="B28" s="73"/>
      <c r="C28" s="73"/>
      <c r="D28" s="73"/>
      <c r="E28" s="73"/>
      <c r="F28" s="73"/>
      <c r="G28" s="79">
        <f>G20-G26</f>
        <v>0</v>
      </c>
      <c r="H28" s="73"/>
    </row>
    <row r="29" spans="1:8" x14ac:dyDescent="0.25">
      <c r="A29" s="73"/>
      <c r="B29" s="73"/>
      <c r="C29" s="73"/>
      <c r="D29" s="73"/>
      <c r="E29" s="73"/>
      <c r="F29" s="73"/>
      <c r="G29" s="73"/>
      <c r="H29" s="73"/>
    </row>
    <row r="30" spans="1:8" ht="11.25" customHeight="1" x14ac:dyDescent="0.25">
      <c r="A30" s="73"/>
      <c r="B30" s="73"/>
      <c r="C30" s="73"/>
      <c r="D30" s="73"/>
      <c r="E30" s="73"/>
      <c r="F30" s="73"/>
      <c r="G30" s="73"/>
      <c r="H30" s="73"/>
    </row>
    <row r="31" spans="1:8" x14ac:dyDescent="0.25">
      <c r="A31" s="80" t="s">
        <v>182</v>
      </c>
      <c r="B31" s="80"/>
      <c r="C31" s="80"/>
      <c r="D31" s="92"/>
      <c r="E31" s="80"/>
      <c r="F31" s="80"/>
      <c r="G31" s="80"/>
      <c r="H31" s="80"/>
    </row>
    <row r="32" spans="1:8" ht="14.4" x14ac:dyDescent="0.3">
      <c r="A32" s="80" t="s">
        <v>183</v>
      </c>
      <c r="B32" s="94">
        <f>1014869.83+290.6+313.54+284.82+266.51</f>
        <v>1016025.2999999999</v>
      </c>
      <c r="C32" s="80"/>
      <c r="D32" s="82">
        <f>B32/B34</f>
        <v>0.749556723118465</v>
      </c>
      <c r="E32" s="69">
        <f>D32*0</f>
        <v>0</v>
      </c>
      <c r="F32" s="80"/>
      <c r="G32" s="80"/>
      <c r="H32" s="80"/>
    </row>
    <row r="33" spans="1:8" ht="14.4" x14ac:dyDescent="0.3">
      <c r="A33" s="80" t="s">
        <v>145</v>
      </c>
      <c r="B33" s="94">
        <f>564104.69+161.52-78.5-225000+104.76+94.94+88.84</f>
        <v>339476.25</v>
      </c>
      <c r="C33" s="80" t="s">
        <v>184</v>
      </c>
      <c r="D33" s="82">
        <f>B33/B34</f>
        <v>0.25044327688153512</v>
      </c>
      <c r="E33" s="69">
        <f>-E32+0</f>
        <v>0</v>
      </c>
      <c r="F33" s="83" t="s">
        <v>198</v>
      </c>
      <c r="G33" s="84">
        <f>E33*1</f>
        <v>0</v>
      </c>
      <c r="H33" s="80"/>
    </row>
    <row r="34" spans="1:8" ht="15" thickBot="1" x14ac:dyDescent="0.35">
      <c r="A34" s="80"/>
      <c r="B34" s="93">
        <f>SUM(B32:B33)</f>
        <v>1355501.5499999998</v>
      </c>
      <c r="C34" s="80"/>
      <c r="D34" s="86">
        <f>SUM(D32:D33)</f>
        <v>1</v>
      </c>
      <c r="E34" s="87"/>
      <c r="F34" s="83" t="s">
        <v>199</v>
      </c>
      <c r="G34" s="84">
        <f>E33*0</f>
        <v>0</v>
      </c>
      <c r="H34" s="80"/>
    </row>
    <row r="35" spans="1:8" ht="13.8" thickTop="1" x14ac:dyDescent="0.25">
      <c r="A35" s="80"/>
      <c r="B35" s="80"/>
      <c r="C35" s="80"/>
      <c r="D35" s="80"/>
      <c r="E35" s="80"/>
      <c r="F35" s="88"/>
      <c r="G35" s="80"/>
      <c r="H35" s="80"/>
    </row>
    <row r="36" spans="1:8" x14ac:dyDescent="0.25">
      <c r="A36" s="83" t="s">
        <v>187</v>
      </c>
      <c r="B36" s="80"/>
      <c r="C36" s="80"/>
      <c r="D36" s="80"/>
      <c r="E36" s="80"/>
      <c r="F36" s="80"/>
      <c r="G36" s="80"/>
      <c r="H36" s="80"/>
    </row>
    <row r="38" spans="1:8" ht="14.4" x14ac:dyDescent="0.3">
      <c r="A38" s="89">
        <v>0</v>
      </c>
      <c r="B38" s="90">
        <f>A38/B33</f>
        <v>0</v>
      </c>
    </row>
  </sheetData>
  <mergeCells count="4">
    <mergeCell ref="A1:H1"/>
    <mergeCell ref="A2:H2"/>
    <mergeCell ref="A3:H3"/>
    <mergeCell ref="A4:H4"/>
  </mergeCells>
  <pageMargins left="0.54" right="0.45" top="0.52" bottom="0.48" header="0.37" footer="0.22"/>
  <pageSetup fitToHeight="2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J43"/>
  <sheetViews>
    <sheetView topLeftCell="A4" zoomScaleNormal="100" workbookViewId="0">
      <selection activeCell="A3" sqref="A3:D3"/>
    </sheetView>
  </sheetViews>
  <sheetFormatPr defaultColWidth="9.109375" defaultRowHeight="15" x14ac:dyDescent="0.25"/>
  <cols>
    <col min="1" max="1" width="49.44140625" style="2" bestFit="1" customWidth="1"/>
    <col min="2" max="4" width="19.109375" style="2" customWidth="1"/>
    <col min="5" max="5" width="5.88671875" style="2" customWidth="1"/>
    <col min="6" max="7" width="9.109375" style="2"/>
    <col min="8" max="8" width="15.6640625" style="2" customWidth="1"/>
    <col min="9" max="9" width="3.5546875" style="2" customWidth="1"/>
    <col min="10" max="10" width="15.109375" style="2" bestFit="1" customWidth="1"/>
    <col min="11" max="16384" width="9.109375" style="2"/>
  </cols>
  <sheetData>
    <row r="1" spans="1:10" ht="15.6" x14ac:dyDescent="0.3">
      <c r="A1" s="96" t="s">
        <v>0</v>
      </c>
      <c r="B1" s="96"/>
      <c r="C1" s="96"/>
      <c r="D1" s="96"/>
      <c r="E1" s="1"/>
      <c r="F1" s="1"/>
    </row>
    <row r="2" spans="1:10" ht="15.6" x14ac:dyDescent="0.3">
      <c r="A2" s="96" t="s">
        <v>1</v>
      </c>
      <c r="B2" s="96"/>
      <c r="C2" s="96"/>
      <c r="D2" s="96"/>
      <c r="E2" s="1"/>
      <c r="F2" s="1"/>
    </row>
    <row r="3" spans="1:10" ht="15.6" x14ac:dyDescent="0.3">
      <c r="A3" s="96" t="s">
        <v>68</v>
      </c>
      <c r="B3" s="96"/>
      <c r="C3" s="96"/>
      <c r="D3" s="96"/>
      <c r="E3" s="1"/>
      <c r="F3" s="1"/>
    </row>
    <row r="4" spans="1:10" ht="15.6" x14ac:dyDescent="0.3">
      <c r="A4" s="44"/>
      <c r="B4" s="44"/>
      <c r="C4" s="44"/>
      <c r="D4" s="44"/>
      <c r="E4" s="1"/>
      <c r="F4" s="1"/>
    </row>
    <row r="5" spans="1:10" ht="15.6" x14ac:dyDescent="0.3">
      <c r="A5" s="44"/>
      <c r="B5" s="44"/>
      <c r="C5" s="44"/>
      <c r="D5" s="44"/>
      <c r="E5" s="1"/>
      <c r="F5" s="1"/>
    </row>
    <row r="6" spans="1:10" x14ac:dyDescent="0.25">
      <c r="A6" s="1"/>
      <c r="B6" s="1"/>
      <c r="C6" s="1"/>
      <c r="D6" s="4"/>
      <c r="E6" s="1"/>
      <c r="F6" s="1"/>
    </row>
    <row r="7" spans="1:10" x14ac:dyDescent="0.25">
      <c r="A7" s="1"/>
      <c r="B7" s="1"/>
      <c r="C7" s="1"/>
      <c r="D7" s="1"/>
      <c r="E7" s="1"/>
      <c r="F7" s="1"/>
      <c r="G7" s="5"/>
      <c r="H7" s="5"/>
      <c r="I7" s="5"/>
      <c r="J7" s="5"/>
    </row>
    <row r="8" spans="1:10" ht="15.6" x14ac:dyDescent="0.3">
      <c r="A8" s="6"/>
      <c r="B8" s="7"/>
      <c r="C8" s="7"/>
      <c r="D8" s="8"/>
      <c r="E8" s="1"/>
      <c r="F8" s="1"/>
      <c r="G8" s="5"/>
      <c r="H8" s="9"/>
      <c r="I8" s="5"/>
      <c r="J8" s="9"/>
    </row>
    <row r="9" spans="1:10" ht="15.6" x14ac:dyDescent="0.3">
      <c r="A9" s="6" t="s">
        <v>3</v>
      </c>
      <c r="B9" s="7">
        <v>456068.24</v>
      </c>
      <c r="C9" s="7"/>
      <c r="D9" s="8"/>
      <c r="E9" s="1"/>
      <c r="F9" s="1"/>
      <c r="G9" s="5"/>
      <c r="H9" s="9"/>
      <c r="I9" s="5"/>
      <c r="J9" s="9"/>
    </row>
    <row r="10" spans="1:10" ht="15.6" x14ac:dyDescent="0.3">
      <c r="A10" s="6" t="s">
        <v>4</v>
      </c>
      <c r="B10" s="10">
        <f>211446.28-24779.88+78.5-111574.11-91733.52+58333.33</f>
        <v>41770.599999999991</v>
      </c>
      <c r="C10" s="10"/>
      <c r="D10" s="8"/>
      <c r="E10" s="1"/>
      <c r="F10" s="1"/>
      <c r="G10" s="5"/>
      <c r="H10" s="9"/>
      <c r="I10" s="5"/>
      <c r="J10" s="9"/>
    </row>
    <row r="11" spans="1:10" ht="15.6" x14ac:dyDescent="0.3">
      <c r="A11" s="6" t="s">
        <v>5</v>
      </c>
      <c r="B11" s="10">
        <v>0</v>
      </c>
      <c r="C11" s="11"/>
      <c r="D11" s="8"/>
      <c r="E11" s="1"/>
      <c r="F11" s="1"/>
      <c r="H11" s="12"/>
    </row>
    <row r="12" spans="1:10" ht="15.6" x14ac:dyDescent="0.3">
      <c r="A12" s="6" t="s">
        <v>6</v>
      </c>
      <c r="B12" s="10">
        <v>2462126.39</v>
      </c>
      <c r="C12" s="11"/>
      <c r="D12" s="8"/>
      <c r="E12" s="1"/>
      <c r="F12" s="1"/>
      <c r="H12" s="12"/>
    </row>
    <row r="13" spans="1:10" ht="15.6" x14ac:dyDescent="0.3">
      <c r="A13" s="6" t="s">
        <v>7</v>
      </c>
      <c r="B13" s="10">
        <v>299432.48</v>
      </c>
      <c r="C13" s="11"/>
      <c r="D13" s="8"/>
      <c r="E13" s="1"/>
      <c r="F13" s="1"/>
      <c r="H13" s="12"/>
    </row>
    <row r="14" spans="1:10" ht="15.6" x14ac:dyDescent="0.3">
      <c r="A14" s="6" t="s">
        <v>8</v>
      </c>
      <c r="B14" s="10">
        <v>700811.15</v>
      </c>
      <c r="C14" s="11"/>
      <c r="D14" s="8"/>
      <c r="E14" s="1"/>
      <c r="F14" s="1"/>
      <c r="H14" s="12"/>
    </row>
    <row r="15" spans="1:10" ht="15.6" x14ac:dyDescent="0.3">
      <c r="A15" s="6" t="s">
        <v>55</v>
      </c>
      <c r="B15" s="13">
        <v>4015.15</v>
      </c>
      <c r="C15" s="14"/>
      <c r="D15" s="8"/>
      <c r="E15" s="1"/>
      <c r="F15" s="1"/>
      <c r="H15" s="12"/>
    </row>
    <row r="16" spans="1:10" ht="15.6" x14ac:dyDescent="0.3">
      <c r="A16" s="15" t="s">
        <v>9</v>
      </c>
      <c r="B16" s="7"/>
      <c r="C16" s="7">
        <f>SUM(B8:B15)</f>
        <v>3964224.01</v>
      </c>
      <c r="D16" s="8"/>
      <c r="E16" s="1"/>
      <c r="F16" s="1"/>
      <c r="G16" s="5"/>
      <c r="H16" s="16"/>
      <c r="I16" s="17"/>
      <c r="J16" s="16"/>
    </row>
    <row r="17" spans="1:8" x14ac:dyDescent="0.25">
      <c r="A17" s="1"/>
      <c r="B17" s="7"/>
      <c r="C17" s="7"/>
      <c r="D17" s="8"/>
      <c r="E17" s="1"/>
      <c r="F17" s="1"/>
    </row>
    <row r="18" spans="1:8" ht="15.6" x14ac:dyDescent="0.3">
      <c r="A18" s="6" t="s">
        <v>10</v>
      </c>
      <c r="B18" s="18">
        <v>300550.45</v>
      </c>
      <c r="C18" s="7"/>
      <c r="D18" s="8"/>
      <c r="E18" s="1"/>
      <c r="F18" s="1"/>
      <c r="H18" s="12"/>
    </row>
    <row r="19" spans="1:8" ht="15.6" x14ac:dyDescent="0.3">
      <c r="A19" s="6" t="s">
        <v>11</v>
      </c>
      <c r="B19" s="7">
        <f>-B10+1057118.13</f>
        <v>1015347.5299999999</v>
      </c>
      <c r="C19" s="10"/>
      <c r="D19" s="8"/>
      <c r="E19" s="1"/>
      <c r="F19" s="1"/>
      <c r="H19" s="12"/>
    </row>
    <row r="20" spans="1:8" ht="15.6" x14ac:dyDescent="0.3">
      <c r="A20" s="6" t="s">
        <v>12</v>
      </c>
      <c r="B20" s="7">
        <f>-B11+1355146.2</f>
        <v>1355146.2</v>
      </c>
      <c r="C20" s="11"/>
      <c r="D20" s="8"/>
      <c r="E20" s="1"/>
      <c r="F20" s="1"/>
      <c r="H20" s="12"/>
    </row>
    <row r="21" spans="1:8" ht="15.6" x14ac:dyDescent="0.3">
      <c r="A21" s="6" t="s">
        <v>13</v>
      </c>
      <c r="B21" s="19">
        <f>2800+1665+44582.14</f>
        <v>49047.14</v>
      </c>
      <c r="C21" s="13"/>
      <c r="D21" s="8"/>
      <c r="E21" s="1"/>
      <c r="F21" s="1"/>
      <c r="H21" s="12"/>
    </row>
    <row r="22" spans="1:8" ht="15.6" x14ac:dyDescent="0.3">
      <c r="A22" s="6" t="s">
        <v>14</v>
      </c>
      <c r="B22" s="10"/>
      <c r="C22" s="10">
        <f>SUM(B18:B21)</f>
        <v>2720091.32</v>
      </c>
      <c r="D22" s="8"/>
      <c r="E22" s="1"/>
      <c r="F22" s="1"/>
      <c r="H22" s="12"/>
    </row>
    <row r="23" spans="1:8" ht="6" customHeight="1" x14ac:dyDescent="0.3">
      <c r="A23" s="6"/>
      <c r="B23" s="10"/>
      <c r="C23" s="10"/>
      <c r="D23" s="8"/>
      <c r="E23" s="1"/>
      <c r="F23" s="1"/>
      <c r="H23" s="12"/>
    </row>
    <row r="24" spans="1:8" ht="15.6" x14ac:dyDescent="0.3">
      <c r="A24" s="6" t="s">
        <v>15</v>
      </c>
      <c r="B24" s="7"/>
      <c r="C24" s="20">
        <f>C16+C22</f>
        <v>6684315.3300000001</v>
      </c>
      <c r="D24" s="8"/>
      <c r="E24" s="1"/>
      <c r="F24" s="1"/>
      <c r="H24" s="12"/>
    </row>
    <row r="25" spans="1:8" ht="6" customHeight="1" x14ac:dyDescent="0.25">
      <c r="A25" s="1"/>
      <c r="B25" s="7"/>
      <c r="C25" s="7"/>
      <c r="D25" s="8"/>
      <c r="E25" s="1"/>
      <c r="F25" s="1"/>
    </row>
    <row r="26" spans="1:8" ht="15.6" x14ac:dyDescent="0.3">
      <c r="A26" s="6" t="s">
        <v>16</v>
      </c>
      <c r="B26" s="7"/>
      <c r="C26" s="10">
        <v>0</v>
      </c>
      <c r="D26" s="21"/>
      <c r="E26" s="1"/>
      <c r="F26" s="1"/>
      <c r="H26" s="22"/>
    </row>
    <row r="27" spans="1:8" ht="6" customHeight="1" x14ac:dyDescent="0.3">
      <c r="A27" s="6"/>
      <c r="B27" s="10"/>
      <c r="C27" s="10"/>
      <c r="D27" s="21"/>
      <c r="E27" s="1"/>
      <c r="F27" s="1"/>
      <c r="H27" s="22"/>
    </row>
    <row r="28" spans="1:8" ht="16.2" thickBot="1" x14ac:dyDescent="0.35">
      <c r="A28" s="6" t="s">
        <v>17</v>
      </c>
      <c r="B28" s="7"/>
      <c r="C28" s="23">
        <f>C16+B30</f>
        <v>6684315.3300000001</v>
      </c>
      <c r="E28" s="1"/>
      <c r="F28" s="1"/>
      <c r="H28" s="22"/>
    </row>
    <row r="29" spans="1:8" ht="15.6" thickTop="1" x14ac:dyDescent="0.25">
      <c r="A29" s="1"/>
      <c r="B29" s="1"/>
      <c r="C29" s="1"/>
      <c r="D29" s="1"/>
      <c r="E29" s="1"/>
      <c r="F29" s="1"/>
    </row>
    <row r="30" spans="1:8" ht="16.2" thickBot="1" x14ac:dyDescent="0.35">
      <c r="A30" s="24" t="s">
        <v>18</v>
      </c>
      <c r="B30" s="25">
        <f>C22+C26</f>
        <v>2720091.32</v>
      </c>
      <c r="C30" s="26"/>
      <c r="D30" s="27"/>
      <c r="E30" s="26"/>
      <c r="F30" s="26"/>
    </row>
    <row r="31" spans="1:8" ht="16.2" thickTop="1" x14ac:dyDescent="0.3">
      <c r="A31" s="24"/>
      <c r="B31" s="10"/>
      <c r="C31" s="26"/>
      <c r="D31" s="27"/>
      <c r="E31" s="26"/>
      <c r="F31" s="26"/>
    </row>
    <row r="32" spans="1:8" ht="5.25" customHeight="1" x14ac:dyDescent="0.3">
      <c r="A32" s="24"/>
      <c r="B32" s="10"/>
      <c r="C32" s="26"/>
      <c r="D32" s="27"/>
      <c r="E32" s="26"/>
      <c r="F32" s="26"/>
    </row>
    <row r="33" spans="1:6" ht="15.6" x14ac:dyDescent="0.3">
      <c r="A33" s="28" t="s">
        <v>70</v>
      </c>
      <c r="B33" s="1"/>
      <c r="C33" s="1"/>
      <c r="D33" s="1"/>
      <c r="E33" s="1"/>
      <c r="F33" s="1"/>
    </row>
    <row r="34" spans="1:6" ht="15.6" x14ac:dyDescent="0.3">
      <c r="A34" s="29" t="s">
        <v>71</v>
      </c>
      <c r="B34" s="1"/>
      <c r="C34" s="1"/>
      <c r="D34" s="1"/>
      <c r="E34" s="1"/>
      <c r="F34" s="1"/>
    </row>
    <row r="35" spans="1:6" ht="15.6" x14ac:dyDescent="0.3">
      <c r="A35" s="6" t="s">
        <v>69</v>
      </c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ht="15.6" x14ac:dyDescent="0.3">
      <c r="A37" s="6" t="s">
        <v>22</v>
      </c>
      <c r="B37" s="1"/>
      <c r="C37" s="1"/>
      <c r="D37" s="1"/>
      <c r="E37" s="1"/>
      <c r="F37" s="1"/>
    </row>
    <row r="38" spans="1:6" ht="15.6" x14ac:dyDescent="0.3">
      <c r="A38" s="6" t="s">
        <v>23</v>
      </c>
      <c r="B38" s="7">
        <f>14969.75+8981.51</f>
        <v>23951.260000000002</v>
      </c>
      <c r="C38" s="10"/>
      <c r="D38" s="1"/>
      <c r="E38" s="1"/>
      <c r="F38" s="1"/>
    </row>
    <row r="39" spans="1:6" ht="15.6" x14ac:dyDescent="0.3">
      <c r="A39" s="6" t="s">
        <v>25</v>
      </c>
      <c r="B39" s="7">
        <f>53576.4+37054.62+82606.49</f>
        <v>173237.51</v>
      </c>
      <c r="C39" s="10"/>
      <c r="D39" s="1"/>
      <c r="E39" s="1"/>
      <c r="F39" s="1"/>
    </row>
    <row r="40" spans="1:6" ht="15.6" x14ac:dyDescent="0.3">
      <c r="A40" s="6" t="s">
        <v>26</v>
      </c>
      <c r="B40" s="7">
        <v>113322.3</v>
      </c>
      <c r="C40" s="10"/>
      <c r="D40" s="1"/>
      <c r="E40" s="1"/>
      <c r="F40" s="1"/>
    </row>
    <row r="41" spans="1:6" ht="15.6" x14ac:dyDescent="0.3">
      <c r="A41" s="6" t="s">
        <v>73</v>
      </c>
      <c r="B41" s="7">
        <v>581558</v>
      </c>
      <c r="C41" s="10"/>
      <c r="D41" s="1"/>
      <c r="E41" s="1"/>
      <c r="F41" s="1"/>
    </row>
    <row r="42" spans="1:6" ht="15.6" thickBot="1" x14ac:dyDescent="0.3">
      <c r="A42" s="1"/>
      <c r="B42" s="30">
        <f>SUM(B38:B41)</f>
        <v>892069.07000000007</v>
      </c>
      <c r="C42" s="31"/>
      <c r="D42" s="1"/>
      <c r="E42" s="1"/>
      <c r="F42" s="1"/>
    </row>
    <row r="43" spans="1:6" ht="15.6" thickTop="1" x14ac:dyDescent="0.25">
      <c r="A43" s="1"/>
      <c r="B43" s="1"/>
      <c r="C43" s="32"/>
      <c r="D43" s="1"/>
      <c r="E43" s="1"/>
      <c r="F43" s="1"/>
    </row>
  </sheetData>
  <mergeCells count="3">
    <mergeCell ref="A1:D1"/>
    <mergeCell ref="A2:D2"/>
    <mergeCell ref="A3:D3"/>
  </mergeCells>
  <pageMargins left="0.45" right="0.2" top="0.75" bottom="0.75" header="0.3" footer="0.3"/>
  <pageSetup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5"/>
  <sheetViews>
    <sheetView workbookViewId="0">
      <selection activeCell="A2" sqref="A2"/>
    </sheetView>
  </sheetViews>
  <sheetFormatPr defaultRowHeight="14.4" x14ac:dyDescent="0.3"/>
  <cols>
    <col min="1" max="1" width="26.33203125" customWidth="1"/>
    <col min="2" max="2" width="14.6640625" bestFit="1" customWidth="1"/>
    <col min="6" max="6" width="13.33203125" customWidth="1"/>
  </cols>
  <sheetData>
    <row r="1" spans="1:4" x14ac:dyDescent="0.3">
      <c r="A1" s="33" t="s">
        <v>213</v>
      </c>
    </row>
    <row r="2" spans="1:4" x14ac:dyDescent="0.3">
      <c r="A2" t="s">
        <v>29</v>
      </c>
      <c r="B2" s="34">
        <v>3934549.69</v>
      </c>
    </row>
    <row r="3" spans="1:4" x14ac:dyDescent="0.3">
      <c r="A3" t="s">
        <v>30</v>
      </c>
      <c r="B3" s="35">
        <v>0</v>
      </c>
    </row>
    <row r="4" spans="1:4" x14ac:dyDescent="0.3">
      <c r="A4" t="s">
        <v>31</v>
      </c>
      <c r="B4" s="34">
        <v>708419.71</v>
      </c>
    </row>
    <row r="5" spans="1:4" x14ac:dyDescent="0.3">
      <c r="A5" t="s">
        <v>32</v>
      </c>
      <c r="B5" s="34">
        <v>-643904.30000000005</v>
      </c>
      <c r="D5" s="35"/>
    </row>
    <row r="6" spans="1:4" x14ac:dyDescent="0.3">
      <c r="A6" t="s">
        <v>33</v>
      </c>
      <c r="B6" s="34">
        <f>207160.14+8844.25</f>
        <v>216004.39</v>
      </c>
      <c r="C6" t="s">
        <v>133</v>
      </c>
    </row>
    <row r="7" spans="1:4" x14ac:dyDescent="0.3">
      <c r="A7" t="s">
        <v>35</v>
      </c>
      <c r="B7" s="34">
        <f>-35011.63+21808.18</f>
        <v>-13203.449999999997</v>
      </c>
    </row>
    <row r="8" spans="1:4" x14ac:dyDescent="0.3">
      <c r="A8" t="s">
        <v>91</v>
      </c>
      <c r="B8" s="34"/>
    </row>
    <row r="9" spans="1:4" x14ac:dyDescent="0.3">
      <c r="A9" t="s">
        <v>36</v>
      </c>
      <c r="B9" s="36">
        <v>304910.49</v>
      </c>
      <c r="C9" t="s">
        <v>37</v>
      </c>
    </row>
    <row r="10" spans="1:4" x14ac:dyDescent="0.3">
      <c r="A10" t="s">
        <v>38</v>
      </c>
      <c r="B10" s="34">
        <v>-304667.06</v>
      </c>
    </row>
    <row r="11" spans="1:4" x14ac:dyDescent="0.3">
      <c r="A11" t="s">
        <v>39</v>
      </c>
      <c r="B11" s="34">
        <v>355.94</v>
      </c>
    </row>
    <row r="12" spans="1:4" x14ac:dyDescent="0.3">
      <c r="A12" t="s">
        <v>40</v>
      </c>
      <c r="B12" s="34">
        <v>0</v>
      </c>
      <c r="C12" t="s">
        <v>63</v>
      </c>
    </row>
    <row r="13" spans="1:4" x14ac:dyDescent="0.3">
      <c r="A13" t="s">
        <v>16</v>
      </c>
      <c r="B13" s="34">
        <v>0</v>
      </c>
    </row>
    <row r="14" spans="1:4" x14ac:dyDescent="0.3">
      <c r="A14" t="s">
        <v>42</v>
      </c>
      <c r="B14" s="34">
        <v>7352.45</v>
      </c>
    </row>
    <row r="15" spans="1:4" x14ac:dyDescent="0.3">
      <c r="A15" t="s">
        <v>57</v>
      </c>
      <c r="B15" s="34"/>
    </row>
    <row r="16" spans="1:4" x14ac:dyDescent="0.3">
      <c r="A16" t="s">
        <v>43</v>
      </c>
      <c r="B16" s="37">
        <f>SUM(B2:B15)</f>
        <v>4209817.8600000013</v>
      </c>
    </row>
    <row r="17" spans="1:3" x14ac:dyDescent="0.3">
      <c r="A17" t="s">
        <v>44</v>
      </c>
      <c r="B17" s="34">
        <v>-4209817.8600000003</v>
      </c>
    </row>
    <row r="18" spans="1:3" ht="15" thickBot="1" x14ac:dyDescent="0.35">
      <c r="A18" t="s">
        <v>45</v>
      </c>
      <c r="B18" s="38">
        <f>SUM(B16:B17)</f>
        <v>0</v>
      </c>
    </row>
    <row r="19" spans="1:3" ht="15" thickTop="1" x14ac:dyDescent="0.3">
      <c r="B19" s="39"/>
    </row>
    <row r="20" spans="1:3" x14ac:dyDescent="0.3">
      <c r="A20" t="s">
        <v>29</v>
      </c>
      <c r="B20" s="35">
        <v>-231879.01</v>
      </c>
    </row>
    <row r="21" spans="1:3" x14ac:dyDescent="0.3">
      <c r="A21" t="s">
        <v>56</v>
      </c>
      <c r="B21" s="34"/>
    </row>
    <row r="22" spans="1:3" x14ac:dyDescent="0.3">
      <c r="A22" t="s">
        <v>72</v>
      </c>
      <c r="B22" s="34"/>
    </row>
    <row r="23" spans="1:3" x14ac:dyDescent="0.3">
      <c r="A23" t="s">
        <v>46</v>
      </c>
      <c r="B23" s="34">
        <v>-21808.18</v>
      </c>
      <c r="C23" t="s">
        <v>47</v>
      </c>
    </row>
    <row r="24" spans="1:3" x14ac:dyDescent="0.3">
      <c r="A24" t="s">
        <v>33</v>
      </c>
      <c r="B24" s="34"/>
    </row>
    <row r="25" spans="1:3" x14ac:dyDescent="0.3">
      <c r="A25" t="s">
        <v>39</v>
      </c>
      <c r="B25" s="34"/>
    </row>
    <row r="26" spans="1:3" x14ac:dyDescent="0.3">
      <c r="A26" t="s">
        <v>40</v>
      </c>
      <c r="B26" s="34"/>
    </row>
    <row r="27" spans="1:3" x14ac:dyDescent="0.3">
      <c r="A27" t="s">
        <v>48</v>
      </c>
      <c r="B27" s="34">
        <v>73982.84</v>
      </c>
    </row>
    <row r="28" spans="1:3" x14ac:dyDescent="0.3">
      <c r="A28" t="s">
        <v>42</v>
      </c>
      <c r="B28" s="34">
        <v>-7352.45</v>
      </c>
    </row>
    <row r="29" spans="1:3" x14ac:dyDescent="0.3">
      <c r="A29" t="s">
        <v>49</v>
      </c>
      <c r="B29" s="34"/>
    </row>
    <row r="30" spans="1:3" x14ac:dyDescent="0.3">
      <c r="A30" t="s">
        <v>50</v>
      </c>
      <c r="B30" s="34"/>
    </row>
    <row r="31" spans="1:3" x14ac:dyDescent="0.3">
      <c r="A31" t="s">
        <v>57</v>
      </c>
      <c r="B31" s="34"/>
    </row>
    <row r="32" spans="1:3" x14ac:dyDescent="0.3">
      <c r="A32" t="s">
        <v>51</v>
      </c>
      <c r="B32" s="40">
        <f>SUM(B20:B31)</f>
        <v>-187056.80000000002</v>
      </c>
    </row>
    <row r="33" spans="1:2" x14ac:dyDescent="0.3">
      <c r="A33" t="s">
        <v>52</v>
      </c>
      <c r="B33" s="35">
        <v>187056.8</v>
      </c>
    </row>
    <row r="34" spans="1:2" ht="15" thickBot="1" x14ac:dyDescent="0.35">
      <c r="A34" t="s">
        <v>45</v>
      </c>
      <c r="B34" s="41">
        <f>SUM(B32:B33)</f>
        <v>0</v>
      </c>
    </row>
    <row r="35" spans="1:2" ht="15" thickTop="1" x14ac:dyDescent="0.3"/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34"/>
  <sheetViews>
    <sheetView workbookViewId="0">
      <selection activeCell="B20" sqref="B20"/>
    </sheetView>
  </sheetViews>
  <sheetFormatPr defaultRowHeight="14.4" x14ac:dyDescent="0.3"/>
  <cols>
    <col min="1" max="1" width="26.33203125" customWidth="1"/>
    <col min="2" max="2" width="14.6640625" bestFit="1" customWidth="1"/>
    <col min="6" max="6" width="11.88671875" customWidth="1"/>
  </cols>
  <sheetData>
    <row r="1" spans="1:4" x14ac:dyDescent="0.3">
      <c r="A1" s="33" t="s">
        <v>67</v>
      </c>
    </row>
    <row r="2" spans="1:4" x14ac:dyDescent="0.3">
      <c r="A2" t="s">
        <v>29</v>
      </c>
      <c r="B2" s="34">
        <v>3050941.67</v>
      </c>
    </row>
    <row r="3" spans="1:4" x14ac:dyDescent="0.3">
      <c r="A3" t="s">
        <v>30</v>
      </c>
      <c r="B3" s="35">
        <v>0</v>
      </c>
    </row>
    <row r="4" spans="1:4" x14ac:dyDescent="0.3">
      <c r="A4" t="s">
        <v>31</v>
      </c>
      <c r="B4" s="34">
        <v>773137.71</v>
      </c>
    </row>
    <row r="5" spans="1:4" x14ac:dyDescent="0.3">
      <c r="A5" t="s">
        <v>32</v>
      </c>
      <c r="B5" s="34">
        <v>-990021.64</v>
      </c>
      <c r="D5" s="35"/>
    </row>
    <row r="6" spans="1:4" x14ac:dyDescent="0.3">
      <c r="A6" t="s">
        <v>33</v>
      </c>
      <c r="B6" s="34">
        <f>518452.7-B21</f>
        <v>0</v>
      </c>
      <c r="C6" t="s">
        <v>62</v>
      </c>
    </row>
    <row r="7" spans="1:4" x14ac:dyDescent="0.3">
      <c r="A7" t="s">
        <v>35</v>
      </c>
      <c r="B7" s="34">
        <f>-387538.25+-B22</f>
        <v>-295804.73</v>
      </c>
    </row>
    <row r="8" spans="1:4" x14ac:dyDescent="0.3">
      <c r="A8" t="s">
        <v>36</v>
      </c>
      <c r="B8" s="36">
        <v>341273.72</v>
      </c>
      <c r="C8" t="s">
        <v>37</v>
      </c>
    </row>
    <row r="9" spans="1:4" x14ac:dyDescent="0.3">
      <c r="A9" t="s">
        <v>38</v>
      </c>
      <c r="B9" s="34">
        <v>-307331</v>
      </c>
    </row>
    <row r="10" spans="1:4" x14ac:dyDescent="0.3">
      <c r="A10" t="s">
        <v>39</v>
      </c>
      <c r="B10" s="34">
        <v>379.76</v>
      </c>
    </row>
    <row r="11" spans="1:4" x14ac:dyDescent="0.3">
      <c r="A11" t="s">
        <v>40</v>
      </c>
      <c r="B11" s="34"/>
      <c r="C11" t="s">
        <v>63</v>
      </c>
    </row>
    <row r="12" spans="1:4" x14ac:dyDescent="0.3">
      <c r="A12" t="s">
        <v>16</v>
      </c>
      <c r="B12" s="34">
        <v>0</v>
      </c>
    </row>
    <row r="13" spans="1:4" x14ac:dyDescent="0.3">
      <c r="A13" t="s">
        <v>42</v>
      </c>
      <c r="B13" s="34">
        <v>147515.84</v>
      </c>
    </row>
    <row r="14" spans="1:4" x14ac:dyDescent="0.3">
      <c r="A14" t="s">
        <v>57</v>
      </c>
      <c r="B14" s="34"/>
    </row>
    <row r="15" spans="1:4" x14ac:dyDescent="0.3">
      <c r="A15" t="s">
        <v>43</v>
      </c>
      <c r="B15" s="37">
        <f>SUM(B2:B14)</f>
        <v>2720091.3299999991</v>
      </c>
    </row>
    <row r="16" spans="1:4" x14ac:dyDescent="0.3">
      <c r="A16" t="s">
        <v>44</v>
      </c>
      <c r="B16" s="34">
        <v>-2720091.32</v>
      </c>
    </row>
    <row r="17" spans="1:3" ht="15" thickBot="1" x14ac:dyDescent="0.35">
      <c r="A17" t="s">
        <v>45</v>
      </c>
      <c r="B17" s="38">
        <f>SUM(B15:B16)</f>
        <v>9.9999993108212948E-3</v>
      </c>
    </row>
    <row r="18" spans="1:3" ht="15" thickTop="1" x14ac:dyDescent="0.3">
      <c r="B18" s="39"/>
    </row>
    <row r="19" spans="1:3" x14ac:dyDescent="0.3">
      <c r="A19" t="s">
        <v>29</v>
      </c>
      <c r="B19" s="35">
        <v>3547345.42</v>
      </c>
    </row>
    <row r="20" spans="1:3" x14ac:dyDescent="0.3">
      <c r="A20" t="s">
        <v>56</v>
      </c>
      <c r="B20" s="34">
        <v>561.03</v>
      </c>
    </row>
    <row r="21" spans="1:3" x14ac:dyDescent="0.3">
      <c r="A21" t="s">
        <v>72</v>
      </c>
      <c r="B21" s="34">
        <v>518452.7</v>
      </c>
    </row>
    <row r="22" spans="1:3" x14ac:dyDescent="0.3">
      <c r="A22" t="s">
        <v>46</v>
      </c>
      <c r="B22" s="34">
        <v>-91733.52</v>
      </c>
      <c r="C22" t="s">
        <v>47</v>
      </c>
    </row>
    <row r="23" spans="1:3" x14ac:dyDescent="0.3">
      <c r="A23" t="s">
        <v>33</v>
      </c>
      <c r="B23" s="34"/>
    </row>
    <row r="24" spans="1:3" x14ac:dyDescent="0.3">
      <c r="A24" t="s">
        <v>39</v>
      </c>
      <c r="B24" s="34"/>
    </row>
    <row r="25" spans="1:3" x14ac:dyDescent="0.3">
      <c r="A25" t="s">
        <v>40</v>
      </c>
      <c r="B25" s="34"/>
    </row>
    <row r="26" spans="1:3" x14ac:dyDescent="0.3">
      <c r="A26" t="s">
        <v>48</v>
      </c>
      <c r="B26" s="34">
        <v>137044.07</v>
      </c>
    </row>
    <row r="27" spans="1:3" x14ac:dyDescent="0.3">
      <c r="A27" t="s">
        <v>42</v>
      </c>
      <c r="B27" s="34">
        <v>-147515.84</v>
      </c>
    </row>
    <row r="28" spans="1:3" x14ac:dyDescent="0.3">
      <c r="A28" t="s">
        <v>49</v>
      </c>
      <c r="B28" s="34">
        <v>21</v>
      </c>
    </row>
    <row r="29" spans="1:3" x14ac:dyDescent="0.3">
      <c r="A29" t="s">
        <v>50</v>
      </c>
      <c r="B29" s="34">
        <v>49.15</v>
      </c>
    </row>
    <row r="30" spans="1:3" x14ac:dyDescent="0.3">
      <c r="A30" t="s">
        <v>57</v>
      </c>
      <c r="B30" s="34"/>
    </row>
    <row r="31" spans="1:3" x14ac:dyDescent="0.3">
      <c r="A31" t="s">
        <v>51</v>
      </c>
      <c r="B31" s="40">
        <f>SUM(B19:B30)</f>
        <v>3964224.01</v>
      </c>
    </row>
    <row r="32" spans="1:3" x14ac:dyDescent="0.3">
      <c r="A32" t="s">
        <v>52</v>
      </c>
      <c r="B32" s="35">
        <v>-3964224.01</v>
      </c>
    </row>
    <row r="33" spans="1:2" ht="15" thickBot="1" x14ac:dyDescent="0.35">
      <c r="A33" t="s">
        <v>45</v>
      </c>
      <c r="B33" s="42">
        <f>SUM(B31:B32)</f>
        <v>0</v>
      </c>
    </row>
    <row r="34" spans="1:2" ht="15" thickTop="1" x14ac:dyDescent="0.3"/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transitionEvaluation="1" transitionEntry="1">
    <pageSetUpPr fitToPage="1"/>
  </sheetPr>
  <dimension ref="A1:H38"/>
  <sheetViews>
    <sheetView workbookViewId="0">
      <selection activeCell="A5" sqref="A5"/>
    </sheetView>
  </sheetViews>
  <sheetFormatPr defaultColWidth="9.109375" defaultRowHeight="13.2" x14ac:dyDescent="0.25"/>
  <cols>
    <col min="1" max="1" width="13.5546875" style="66" customWidth="1"/>
    <col min="2" max="2" width="14" style="66" bestFit="1" customWidth="1"/>
    <col min="3" max="3" width="2" style="66" customWidth="1"/>
    <col min="4" max="4" width="10.109375" style="66" customWidth="1"/>
    <col min="5" max="5" width="13.33203125" style="66" bestFit="1" customWidth="1"/>
    <col min="6" max="6" width="15.109375" style="66" customWidth="1"/>
    <col min="7" max="7" width="14.6640625" style="66" customWidth="1"/>
    <col min="8" max="8" width="14.5546875" style="66" bestFit="1" customWidth="1"/>
    <col min="9" max="9" width="18.44140625" style="66" customWidth="1"/>
    <col min="10" max="16384" width="9.109375" style="66"/>
  </cols>
  <sheetData>
    <row r="1" spans="1:8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8" x14ac:dyDescent="0.25">
      <c r="A2" s="97" t="s">
        <v>172</v>
      </c>
      <c r="B2" s="97"/>
      <c r="C2" s="97"/>
      <c r="D2" s="97"/>
      <c r="E2" s="97"/>
      <c r="F2" s="97"/>
      <c r="G2" s="97"/>
      <c r="H2" s="97"/>
    </row>
    <row r="3" spans="1:8" x14ac:dyDescent="0.25">
      <c r="A3" s="97" t="s">
        <v>173</v>
      </c>
      <c r="B3" s="97"/>
      <c r="C3" s="97"/>
      <c r="D3" s="97"/>
      <c r="E3" s="97"/>
      <c r="F3" s="97"/>
      <c r="G3" s="97"/>
      <c r="H3" s="97"/>
    </row>
    <row r="4" spans="1:8" x14ac:dyDescent="0.25">
      <c r="A4" s="97" t="s">
        <v>202</v>
      </c>
      <c r="B4" s="97"/>
      <c r="C4" s="97"/>
      <c r="D4" s="97"/>
      <c r="E4" s="97"/>
      <c r="F4" s="97"/>
      <c r="G4" s="97"/>
      <c r="H4" s="97"/>
    </row>
    <row r="5" spans="1:8" x14ac:dyDescent="0.25">
      <c r="A5" s="67"/>
      <c r="B5" s="67"/>
      <c r="C5" s="67"/>
      <c r="D5" s="67"/>
      <c r="E5" s="67"/>
      <c r="F5" s="67"/>
      <c r="G5" s="67"/>
      <c r="H5" s="67"/>
    </row>
    <row r="6" spans="1:8" x14ac:dyDescent="0.25">
      <c r="A6" s="67"/>
      <c r="B6" s="67"/>
      <c r="C6" s="67"/>
      <c r="D6" s="67"/>
      <c r="E6" s="67"/>
      <c r="F6" s="67"/>
      <c r="G6" s="67"/>
      <c r="H6" s="67"/>
    </row>
    <row r="7" spans="1:8" x14ac:dyDescent="0.25">
      <c r="A7" s="67"/>
      <c r="B7" s="67"/>
      <c r="C7" s="67"/>
      <c r="D7" s="67"/>
      <c r="E7" s="67"/>
      <c r="F7" s="67"/>
      <c r="G7" s="67"/>
      <c r="H7" s="67"/>
    </row>
    <row r="8" spans="1:8" x14ac:dyDescent="0.25">
      <c r="A8" s="68" t="s">
        <v>174</v>
      </c>
      <c r="B8" s="67"/>
      <c r="C8" s="67"/>
      <c r="D8" s="67"/>
      <c r="E8" s="67"/>
      <c r="F8" s="67"/>
      <c r="G8" s="69">
        <v>1355146.2</v>
      </c>
      <c r="H8" s="67"/>
    </row>
    <row r="9" spans="1:8" x14ac:dyDescent="0.25">
      <c r="A9" s="67"/>
      <c r="B9" s="67"/>
      <c r="C9" s="67"/>
      <c r="D9" s="67"/>
      <c r="E9" s="67"/>
      <c r="F9" s="67"/>
      <c r="G9" s="67"/>
      <c r="H9" s="67"/>
    </row>
    <row r="10" spans="1:8" x14ac:dyDescent="0.25">
      <c r="A10" s="68" t="s">
        <v>175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/>
      <c r="B11" s="69"/>
      <c r="C11" s="67"/>
      <c r="D11" s="67"/>
      <c r="E11" s="67"/>
      <c r="F11" s="67"/>
      <c r="G11" s="71"/>
      <c r="H11" s="67"/>
    </row>
    <row r="12" spans="1:8" x14ac:dyDescent="0.25">
      <c r="A12" s="67"/>
      <c r="B12" s="67"/>
      <c r="C12" s="67"/>
      <c r="D12" s="67"/>
      <c r="E12" s="67"/>
      <c r="F12" s="67"/>
      <c r="G12" s="67"/>
      <c r="H12" s="67"/>
    </row>
    <row r="13" spans="1:8" x14ac:dyDescent="0.25">
      <c r="A13" s="67"/>
      <c r="B13" s="67"/>
      <c r="C13" s="67"/>
      <c r="D13" s="67"/>
      <c r="E13" s="67"/>
      <c r="F13" s="67"/>
      <c r="G13" s="67"/>
      <c r="H13" s="67"/>
    </row>
    <row r="14" spans="1:8" x14ac:dyDescent="0.25">
      <c r="A14" s="68" t="s">
        <v>176</v>
      </c>
      <c r="B14" s="67"/>
      <c r="C14" s="67"/>
      <c r="D14" s="67"/>
      <c r="E14" s="67"/>
      <c r="F14" s="67"/>
      <c r="G14" s="67"/>
      <c r="H14" s="67"/>
    </row>
    <row r="15" spans="1:8" x14ac:dyDescent="0.25">
      <c r="A15" s="70"/>
      <c r="B15" s="72"/>
      <c r="C15" s="67"/>
      <c r="D15" s="67"/>
      <c r="E15" s="69"/>
      <c r="F15" s="67"/>
      <c r="G15" s="67"/>
      <c r="H15" s="67"/>
    </row>
    <row r="16" spans="1:8" x14ac:dyDescent="0.25">
      <c r="A16" s="67"/>
      <c r="B16" s="72"/>
      <c r="C16" s="67"/>
      <c r="D16" s="67"/>
      <c r="E16" s="69"/>
      <c r="F16" s="67"/>
      <c r="G16" s="67"/>
      <c r="H16" s="67"/>
    </row>
    <row r="17" spans="1:8" x14ac:dyDescent="0.25">
      <c r="A17" s="73"/>
      <c r="B17" s="72"/>
      <c r="C17" s="73"/>
      <c r="D17" s="73"/>
      <c r="E17" s="69"/>
      <c r="F17" s="73"/>
      <c r="G17" s="73"/>
      <c r="H17" s="73"/>
    </row>
    <row r="18" spans="1:8" x14ac:dyDescent="0.25">
      <c r="A18" s="91"/>
      <c r="B18" s="72"/>
      <c r="C18" s="73"/>
      <c r="D18" s="73"/>
      <c r="E18" s="69"/>
      <c r="F18" s="73"/>
      <c r="G18" s="74"/>
      <c r="H18" s="73"/>
    </row>
    <row r="19" spans="1:8" x14ac:dyDescent="0.25">
      <c r="A19" s="73"/>
      <c r="B19" s="72"/>
      <c r="C19" s="73"/>
      <c r="D19" s="73"/>
      <c r="E19" s="73"/>
      <c r="F19" s="73"/>
      <c r="G19" s="73"/>
      <c r="H19" s="73"/>
    </row>
    <row r="20" spans="1:8" ht="13.8" thickBot="1" x14ac:dyDescent="0.3">
      <c r="A20" s="75" t="s">
        <v>177</v>
      </c>
      <c r="B20" s="72"/>
      <c r="C20" s="73"/>
      <c r="D20" s="73"/>
      <c r="E20" s="73"/>
      <c r="F20" s="73"/>
      <c r="G20" s="76">
        <f>SUM(G8:G19)</f>
        <v>1355146.2</v>
      </c>
      <c r="H20" s="73"/>
    </row>
    <row r="21" spans="1:8" ht="13.8" thickTop="1" x14ac:dyDescent="0.25">
      <c r="A21" s="73"/>
      <c r="B21" s="69"/>
      <c r="C21" s="73"/>
      <c r="D21" s="73"/>
      <c r="E21" s="73"/>
      <c r="F21" s="73"/>
      <c r="G21" s="73"/>
      <c r="H21" s="73"/>
    </row>
    <row r="22" spans="1:8" x14ac:dyDescent="0.25">
      <c r="A22" s="75" t="s">
        <v>178</v>
      </c>
      <c r="B22" s="69"/>
      <c r="C22" s="73"/>
      <c r="D22" s="73"/>
      <c r="E22" s="73"/>
      <c r="F22" s="73"/>
      <c r="G22" s="69">
        <v>1355146.2</v>
      </c>
      <c r="H22" s="73"/>
    </row>
    <row r="23" spans="1:8" x14ac:dyDescent="0.25">
      <c r="A23" s="75" t="s">
        <v>179</v>
      </c>
      <c r="B23" s="73"/>
      <c r="C23" s="73"/>
      <c r="D23" s="73"/>
      <c r="E23" s="73"/>
      <c r="F23" s="73"/>
      <c r="G23" s="69"/>
      <c r="H23" s="73"/>
    </row>
    <row r="24" spans="1:8" x14ac:dyDescent="0.25">
      <c r="A24" s="73"/>
      <c r="B24" s="73"/>
      <c r="C24" s="73"/>
      <c r="D24" s="73"/>
      <c r="E24" s="73"/>
      <c r="F24" s="73"/>
      <c r="G24" s="73"/>
      <c r="H24" s="73"/>
    </row>
    <row r="25" spans="1:8" x14ac:dyDescent="0.25">
      <c r="A25" s="73"/>
      <c r="B25" s="73"/>
      <c r="C25" s="73"/>
      <c r="D25" s="73"/>
      <c r="E25" s="73"/>
      <c r="F25" s="73"/>
      <c r="G25" s="73"/>
      <c r="H25" s="73"/>
    </row>
    <row r="26" spans="1:8" ht="13.8" thickBot="1" x14ac:dyDescent="0.3">
      <c r="A26" s="75" t="s">
        <v>180</v>
      </c>
      <c r="B26" s="73"/>
      <c r="C26" s="73"/>
      <c r="D26" s="73"/>
      <c r="E26" s="73"/>
      <c r="F26" s="73"/>
      <c r="G26" s="77">
        <f>SUM(G22:G25)</f>
        <v>1355146.2</v>
      </c>
      <c r="H26" s="73"/>
    </row>
    <row r="27" spans="1:8" ht="15" thickTop="1" x14ac:dyDescent="0.3">
      <c r="A27" s="73"/>
      <c r="B27" s="73"/>
      <c r="C27" s="73"/>
      <c r="D27" s="73"/>
      <c r="E27" s="73"/>
      <c r="F27" s="73"/>
      <c r="G27" s="78"/>
      <c r="H27" s="73"/>
    </row>
    <row r="28" spans="1:8" x14ac:dyDescent="0.25">
      <c r="A28" s="75" t="s">
        <v>181</v>
      </c>
      <c r="B28" s="73"/>
      <c r="C28" s="73"/>
      <c r="D28" s="73"/>
      <c r="E28" s="73"/>
      <c r="F28" s="73"/>
      <c r="G28" s="79">
        <f>G20-G26</f>
        <v>0</v>
      </c>
      <c r="H28" s="73"/>
    </row>
    <row r="29" spans="1:8" x14ac:dyDescent="0.25">
      <c r="A29" s="73"/>
      <c r="B29" s="73"/>
      <c r="C29" s="73"/>
      <c r="D29" s="73"/>
      <c r="E29" s="73"/>
      <c r="F29" s="73"/>
      <c r="G29" s="73"/>
      <c r="H29" s="73"/>
    </row>
    <row r="30" spans="1:8" ht="11.25" customHeight="1" x14ac:dyDescent="0.25">
      <c r="A30" s="73"/>
      <c r="B30" s="73"/>
      <c r="C30" s="73"/>
      <c r="D30" s="73"/>
      <c r="E30" s="73"/>
      <c r="F30" s="73"/>
      <c r="G30" s="73"/>
      <c r="H30" s="73"/>
    </row>
    <row r="31" spans="1:8" x14ac:dyDescent="0.25">
      <c r="A31" s="80" t="s">
        <v>182</v>
      </c>
      <c r="B31" s="80"/>
      <c r="C31" s="80"/>
      <c r="D31" s="92"/>
      <c r="E31" s="80"/>
      <c r="F31" s="80"/>
      <c r="G31" s="80"/>
      <c r="H31" s="80"/>
    </row>
    <row r="32" spans="1:8" ht="14.4" x14ac:dyDescent="0.3">
      <c r="A32" s="80" t="s">
        <v>183</v>
      </c>
      <c r="B32" s="94">
        <f>1014869.83+290.6+313.54+284.82</f>
        <v>1015758.7899999999</v>
      </c>
      <c r="C32" s="80"/>
      <c r="D32" s="82">
        <f>B32/B34</f>
        <v>0.74955660872605478</v>
      </c>
      <c r="E32" s="69">
        <f>D32*0</f>
        <v>0</v>
      </c>
      <c r="F32" s="80"/>
      <c r="G32" s="80"/>
      <c r="H32" s="80"/>
    </row>
    <row r="33" spans="1:8" ht="14.4" x14ac:dyDescent="0.3">
      <c r="A33" s="80" t="s">
        <v>145</v>
      </c>
      <c r="B33" s="94">
        <f>564104.69+161.52-78.5-225000+104.76+94.94</f>
        <v>339387.41</v>
      </c>
      <c r="C33" s="80" t="s">
        <v>184</v>
      </c>
      <c r="D33" s="82">
        <f>B33/B34</f>
        <v>0.25044339127394522</v>
      </c>
      <c r="E33" s="69">
        <f>-E32+0</f>
        <v>0</v>
      </c>
      <c r="F33" s="83" t="s">
        <v>198</v>
      </c>
      <c r="G33" s="84">
        <f>E33*1</f>
        <v>0</v>
      </c>
      <c r="H33" s="80"/>
    </row>
    <row r="34" spans="1:8" ht="15" thickBot="1" x14ac:dyDescent="0.35">
      <c r="A34" s="80"/>
      <c r="B34" s="93">
        <f>SUM(B32:B33)</f>
        <v>1355146.2</v>
      </c>
      <c r="C34" s="80"/>
      <c r="D34" s="86">
        <f>SUM(D32:D33)</f>
        <v>1</v>
      </c>
      <c r="E34" s="87"/>
      <c r="F34" s="83" t="s">
        <v>199</v>
      </c>
      <c r="G34" s="84">
        <f>E33*0</f>
        <v>0</v>
      </c>
      <c r="H34" s="80"/>
    </row>
    <row r="35" spans="1:8" ht="13.8" thickTop="1" x14ac:dyDescent="0.25">
      <c r="A35" s="80"/>
      <c r="B35" s="80"/>
      <c r="C35" s="80"/>
      <c r="D35" s="80"/>
      <c r="E35" s="80"/>
      <c r="F35" s="88"/>
      <c r="G35" s="80"/>
      <c r="H35" s="80"/>
    </row>
    <row r="36" spans="1:8" x14ac:dyDescent="0.25">
      <c r="A36" s="83" t="s">
        <v>187</v>
      </c>
      <c r="B36" s="80"/>
      <c r="C36" s="80"/>
      <c r="D36" s="80"/>
      <c r="E36" s="80"/>
      <c r="F36" s="80"/>
      <c r="G36" s="80"/>
      <c r="H36" s="80"/>
    </row>
    <row r="38" spans="1:8" ht="14.4" x14ac:dyDescent="0.3">
      <c r="A38" s="89">
        <v>0</v>
      </c>
      <c r="B38" s="90">
        <f>A38/B33</f>
        <v>0</v>
      </c>
    </row>
  </sheetData>
  <mergeCells count="4">
    <mergeCell ref="A1:H1"/>
    <mergeCell ref="A2:H2"/>
    <mergeCell ref="A3:H3"/>
    <mergeCell ref="A4:H4"/>
  </mergeCells>
  <pageMargins left="0.54" right="0.45" top="0.52" bottom="0.48" header="0.37" footer="0.22"/>
  <pageSetup fitToHeight="2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J43"/>
  <sheetViews>
    <sheetView zoomScaleNormal="100" workbookViewId="0">
      <selection activeCell="B12" sqref="B12"/>
    </sheetView>
  </sheetViews>
  <sheetFormatPr defaultColWidth="9.109375" defaultRowHeight="15" x14ac:dyDescent="0.25"/>
  <cols>
    <col min="1" max="1" width="49.44140625" style="2" bestFit="1" customWidth="1"/>
    <col min="2" max="4" width="19.109375" style="2" customWidth="1"/>
    <col min="5" max="5" width="5.88671875" style="2" customWidth="1"/>
    <col min="6" max="7" width="9.109375" style="2"/>
    <col min="8" max="8" width="15.6640625" style="2" customWidth="1"/>
    <col min="9" max="9" width="3.5546875" style="2" customWidth="1"/>
    <col min="10" max="10" width="15.109375" style="2" bestFit="1" customWidth="1"/>
    <col min="11" max="16384" width="9.109375" style="2"/>
  </cols>
  <sheetData>
    <row r="1" spans="1:10" ht="15.6" x14ac:dyDescent="0.3">
      <c r="A1" s="96" t="s">
        <v>0</v>
      </c>
      <c r="B1" s="96"/>
      <c r="C1" s="96"/>
      <c r="D1" s="96"/>
      <c r="E1" s="1"/>
      <c r="F1" s="1"/>
    </row>
    <row r="2" spans="1:10" ht="15.6" x14ac:dyDescent="0.3">
      <c r="A2" s="96" t="s">
        <v>1</v>
      </c>
      <c r="B2" s="96"/>
      <c r="C2" s="96"/>
      <c r="D2" s="96"/>
      <c r="E2" s="1"/>
      <c r="F2" s="1"/>
    </row>
    <row r="3" spans="1:10" ht="15.6" x14ac:dyDescent="0.3">
      <c r="A3" s="96" t="s">
        <v>66</v>
      </c>
      <c r="B3" s="96"/>
      <c r="C3" s="96"/>
      <c r="D3" s="96"/>
      <c r="E3" s="1"/>
      <c r="F3" s="1"/>
    </row>
    <row r="4" spans="1:10" ht="15.6" x14ac:dyDescent="0.3">
      <c r="A4" s="43"/>
      <c r="B4" s="43"/>
      <c r="C4" s="43"/>
      <c r="D4" s="43"/>
      <c r="E4" s="1"/>
      <c r="F4" s="1"/>
    </row>
    <row r="5" spans="1:10" ht="15.6" x14ac:dyDescent="0.3">
      <c r="A5" s="43"/>
      <c r="B5" s="43"/>
      <c r="C5" s="43"/>
      <c r="D5" s="43"/>
      <c r="E5" s="1"/>
      <c r="F5" s="1"/>
    </row>
    <row r="6" spans="1:10" x14ac:dyDescent="0.25">
      <c r="A6" s="1"/>
      <c r="B6" s="1"/>
      <c r="C6" s="1"/>
      <c r="D6" s="4"/>
      <c r="E6" s="1"/>
      <c r="F6" s="1"/>
    </row>
    <row r="7" spans="1:10" x14ac:dyDescent="0.25">
      <c r="A7" s="1"/>
      <c r="B7" s="1"/>
      <c r="C7" s="1"/>
      <c r="D7" s="1"/>
      <c r="E7" s="1"/>
      <c r="F7" s="1"/>
      <c r="G7" s="5"/>
      <c r="H7" s="5"/>
      <c r="I7" s="5"/>
      <c r="J7" s="5"/>
    </row>
    <row r="8" spans="1:10" ht="15.6" x14ac:dyDescent="0.3">
      <c r="A8" s="6"/>
      <c r="B8" s="7"/>
      <c r="C8" s="7"/>
      <c r="D8" s="8"/>
      <c r="E8" s="1"/>
      <c r="F8" s="1"/>
      <c r="G8" s="5"/>
      <c r="H8" s="9"/>
      <c r="I8" s="5"/>
      <c r="J8" s="9"/>
    </row>
    <row r="9" spans="1:10" ht="15.6" x14ac:dyDescent="0.3">
      <c r="A9" s="6" t="s">
        <v>3</v>
      </c>
      <c r="B9" s="7">
        <v>466540.01</v>
      </c>
      <c r="C9" s="7"/>
      <c r="D9" s="8"/>
      <c r="E9" s="1"/>
      <c r="F9" s="1"/>
      <c r="G9" s="5"/>
      <c r="H9" s="9"/>
      <c r="I9" s="5"/>
      <c r="J9" s="9"/>
    </row>
    <row r="10" spans="1:10" ht="15.6" x14ac:dyDescent="0.3">
      <c r="A10" s="6" t="s">
        <v>4</v>
      </c>
      <c r="B10" s="10">
        <f>211446.28-24779.88+78.5-111574.11</f>
        <v>75170.789999999994</v>
      </c>
      <c r="C10" s="10"/>
      <c r="D10" s="8"/>
      <c r="E10" s="1"/>
      <c r="F10" s="1"/>
      <c r="G10" s="5"/>
      <c r="H10" s="9"/>
      <c r="I10" s="5"/>
      <c r="J10" s="9"/>
    </row>
    <row r="11" spans="1:10" ht="15.6" x14ac:dyDescent="0.3">
      <c r="A11" s="6" t="s">
        <v>5</v>
      </c>
      <c r="B11" s="10">
        <v>0</v>
      </c>
      <c r="C11" s="11"/>
      <c r="D11" s="8"/>
      <c r="E11" s="1"/>
      <c r="F11" s="1"/>
      <c r="H11" s="12"/>
    </row>
    <row r="12" spans="1:10" ht="15.6" x14ac:dyDescent="0.3">
      <c r="A12" s="6" t="s">
        <v>6</v>
      </c>
      <c r="B12" s="10">
        <v>2001445.99</v>
      </c>
      <c r="C12" s="11"/>
      <c r="D12" s="8"/>
      <c r="E12" s="1"/>
      <c r="F12" s="1"/>
      <c r="H12" s="12"/>
    </row>
    <row r="13" spans="1:10" ht="15.6" x14ac:dyDescent="0.3">
      <c r="A13" s="6" t="s">
        <v>7</v>
      </c>
      <c r="B13" s="10">
        <v>299411.48</v>
      </c>
      <c r="C13" s="11"/>
      <c r="D13" s="8"/>
      <c r="E13" s="1"/>
      <c r="F13" s="1"/>
      <c r="H13" s="12"/>
    </row>
    <row r="14" spans="1:10" ht="15.6" x14ac:dyDescent="0.3">
      <c r="A14" s="6" t="s">
        <v>8</v>
      </c>
      <c r="B14" s="10">
        <v>700762</v>
      </c>
      <c r="C14" s="11"/>
      <c r="D14" s="8"/>
      <c r="E14" s="1"/>
      <c r="F14" s="1"/>
      <c r="H14" s="12"/>
    </row>
    <row r="15" spans="1:10" ht="15.6" x14ac:dyDescent="0.3">
      <c r="A15" s="6" t="s">
        <v>55</v>
      </c>
      <c r="B15" s="13">
        <v>4015.15</v>
      </c>
      <c r="C15" s="14"/>
      <c r="D15" s="8"/>
      <c r="E15" s="1"/>
      <c r="F15" s="1"/>
      <c r="H15" s="12"/>
    </row>
    <row r="16" spans="1:10" ht="15.6" x14ac:dyDescent="0.3">
      <c r="A16" s="15" t="s">
        <v>9</v>
      </c>
      <c r="B16" s="7"/>
      <c r="C16" s="7">
        <f>SUM(B8:B15)</f>
        <v>3547345.42</v>
      </c>
      <c r="D16" s="8"/>
      <c r="E16" s="1"/>
      <c r="F16" s="1"/>
      <c r="G16" s="5"/>
      <c r="H16" s="16"/>
      <c r="I16" s="17"/>
      <c r="J16" s="16"/>
    </row>
    <row r="17" spans="1:8" x14ac:dyDescent="0.25">
      <c r="A17" s="1"/>
      <c r="B17" s="7"/>
      <c r="C17" s="7"/>
      <c r="D17" s="8"/>
      <c r="E17" s="1"/>
      <c r="F17" s="1"/>
    </row>
    <row r="18" spans="1:8" ht="15.6" x14ac:dyDescent="0.3">
      <c r="A18" s="6" t="s">
        <v>10</v>
      </c>
      <c r="B18" s="18">
        <v>517434.38</v>
      </c>
      <c r="C18" s="7"/>
      <c r="D18" s="8"/>
      <c r="E18" s="1"/>
      <c r="F18" s="1"/>
      <c r="H18" s="12"/>
    </row>
    <row r="19" spans="1:8" ht="15.6" x14ac:dyDescent="0.3">
      <c r="A19" s="6" t="s">
        <v>11</v>
      </c>
      <c r="B19" s="7">
        <f>-B10+1238807.22</f>
        <v>1163636.43</v>
      </c>
      <c r="C19" s="10"/>
      <c r="D19" s="8"/>
      <c r="E19" s="1"/>
      <c r="F19" s="1"/>
      <c r="H19" s="12"/>
    </row>
    <row r="20" spans="1:8" ht="15.6" x14ac:dyDescent="0.3">
      <c r="A20" s="6" t="s">
        <v>12</v>
      </c>
      <c r="B20" s="7">
        <f>-B11+1354766.44</f>
        <v>1354766.44</v>
      </c>
      <c r="C20" s="11"/>
      <c r="D20" s="8"/>
      <c r="E20" s="1"/>
      <c r="F20" s="1"/>
      <c r="H20" s="12"/>
    </row>
    <row r="21" spans="1:8" ht="15.6" x14ac:dyDescent="0.3">
      <c r="A21" s="6" t="s">
        <v>13</v>
      </c>
      <c r="B21" s="19">
        <f>2800+1665+10639.42</f>
        <v>15104.42</v>
      </c>
      <c r="C21" s="13"/>
      <c r="D21" s="8"/>
      <c r="E21" s="1"/>
      <c r="F21" s="1"/>
      <c r="H21" s="12"/>
    </row>
    <row r="22" spans="1:8" ht="15.6" x14ac:dyDescent="0.3">
      <c r="A22" s="6" t="s">
        <v>14</v>
      </c>
      <c r="B22" s="10"/>
      <c r="C22" s="10">
        <f>SUM(B18:B21)</f>
        <v>3050941.67</v>
      </c>
      <c r="D22" s="8"/>
      <c r="E22" s="1"/>
      <c r="F22" s="1"/>
      <c r="H22" s="12"/>
    </row>
    <row r="23" spans="1:8" ht="6" customHeight="1" x14ac:dyDescent="0.3">
      <c r="A23" s="6"/>
      <c r="B23" s="10"/>
      <c r="C23" s="10"/>
      <c r="D23" s="8"/>
      <c r="E23" s="1"/>
      <c r="F23" s="1"/>
      <c r="H23" s="12"/>
    </row>
    <row r="24" spans="1:8" ht="15.6" x14ac:dyDescent="0.3">
      <c r="A24" s="6" t="s">
        <v>15</v>
      </c>
      <c r="B24" s="7"/>
      <c r="C24" s="20">
        <f>C16+C22</f>
        <v>6598287.0899999999</v>
      </c>
      <c r="D24" s="8"/>
      <c r="E24" s="1"/>
      <c r="F24" s="1"/>
      <c r="H24" s="12"/>
    </row>
    <row r="25" spans="1:8" ht="6" customHeight="1" x14ac:dyDescent="0.25">
      <c r="A25" s="1"/>
      <c r="B25" s="7"/>
      <c r="C25" s="7"/>
      <c r="D25" s="8"/>
      <c r="E25" s="1"/>
      <c r="F25" s="1"/>
    </row>
    <row r="26" spans="1:8" ht="15.6" x14ac:dyDescent="0.3">
      <c r="A26" s="6" t="s">
        <v>16</v>
      </c>
      <c r="B26" s="7"/>
      <c r="C26" s="10">
        <v>0</v>
      </c>
      <c r="D26" s="21"/>
      <c r="E26" s="1"/>
      <c r="F26" s="1"/>
      <c r="H26" s="22"/>
    </row>
    <row r="27" spans="1:8" ht="6" customHeight="1" x14ac:dyDescent="0.3">
      <c r="A27" s="6"/>
      <c r="B27" s="10"/>
      <c r="C27" s="10"/>
      <c r="D27" s="21"/>
      <c r="E27" s="1"/>
      <c r="F27" s="1"/>
      <c r="H27" s="22"/>
    </row>
    <row r="28" spans="1:8" ht="16.2" thickBot="1" x14ac:dyDescent="0.35">
      <c r="A28" s="6" t="s">
        <v>17</v>
      </c>
      <c r="B28" s="7"/>
      <c r="C28" s="23">
        <f>C16+B30</f>
        <v>6598287.0899999999</v>
      </c>
      <c r="E28" s="1"/>
      <c r="F28" s="1"/>
      <c r="H28" s="22"/>
    </row>
    <row r="29" spans="1:8" ht="15.6" thickTop="1" x14ac:dyDescent="0.25">
      <c r="A29" s="1"/>
      <c r="B29" s="1"/>
      <c r="C29" s="1"/>
      <c r="D29" s="1"/>
      <c r="E29" s="1"/>
      <c r="F29" s="1"/>
    </row>
    <row r="30" spans="1:8" ht="16.2" thickBot="1" x14ac:dyDescent="0.35">
      <c r="A30" s="24" t="s">
        <v>18</v>
      </c>
      <c r="B30" s="25">
        <f>C22+C26</f>
        <v>3050941.67</v>
      </c>
      <c r="C30" s="26"/>
      <c r="D30" s="27"/>
      <c r="E30" s="26"/>
      <c r="F30" s="26"/>
    </row>
    <row r="31" spans="1:8" ht="16.2" thickTop="1" x14ac:dyDescent="0.3">
      <c r="A31" s="24"/>
      <c r="B31" s="10"/>
      <c r="C31" s="26"/>
      <c r="D31" s="27"/>
      <c r="E31" s="26"/>
      <c r="F31" s="26"/>
    </row>
    <row r="32" spans="1:8" ht="5.25" customHeight="1" x14ac:dyDescent="0.3">
      <c r="A32" s="24"/>
      <c r="B32" s="10"/>
      <c r="C32" s="26"/>
      <c r="D32" s="27"/>
      <c r="E32" s="26"/>
      <c r="F32" s="26"/>
    </row>
    <row r="33" spans="1:6" ht="15.6" x14ac:dyDescent="0.3">
      <c r="A33" s="28" t="s">
        <v>65</v>
      </c>
      <c r="B33" s="1"/>
      <c r="C33" s="1"/>
      <c r="D33" s="1"/>
      <c r="E33" s="1"/>
      <c r="F33" s="1"/>
    </row>
    <row r="34" spans="1:6" ht="15.6" x14ac:dyDescent="0.3">
      <c r="A34" s="29" t="s">
        <v>58</v>
      </c>
      <c r="B34" s="1"/>
      <c r="C34" s="1"/>
      <c r="D34" s="1"/>
      <c r="E34" s="1"/>
      <c r="F34" s="1"/>
    </row>
    <row r="35" spans="1:6" ht="15.6" x14ac:dyDescent="0.3">
      <c r="A35" s="6" t="s">
        <v>64</v>
      </c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ht="15.6" x14ac:dyDescent="0.3">
      <c r="A37" s="6" t="s">
        <v>22</v>
      </c>
      <c r="B37" s="1"/>
      <c r="C37" s="1"/>
      <c r="D37" s="1"/>
      <c r="E37" s="1"/>
      <c r="F37" s="1"/>
    </row>
    <row r="38" spans="1:6" ht="15.6" x14ac:dyDescent="0.3">
      <c r="A38" s="6" t="s">
        <v>23</v>
      </c>
      <c r="B38" s="7">
        <f>14969.75+8981.51</f>
        <v>23951.260000000002</v>
      </c>
      <c r="C38" s="10"/>
      <c r="D38" s="1"/>
      <c r="E38" s="1"/>
      <c r="F38" s="1"/>
    </row>
    <row r="39" spans="1:6" ht="15.6" x14ac:dyDescent="0.3">
      <c r="A39" s="6" t="s">
        <v>25</v>
      </c>
      <c r="B39" s="7">
        <f>53576.4</f>
        <v>53576.4</v>
      </c>
      <c r="C39" s="10"/>
      <c r="D39" s="1"/>
      <c r="E39" s="1"/>
      <c r="F39" s="1"/>
    </row>
    <row r="40" spans="1:6" ht="15.6" x14ac:dyDescent="0.3">
      <c r="A40" s="6" t="s">
        <v>26</v>
      </c>
      <c r="B40" s="7">
        <f>151788.78</f>
        <v>151788.78</v>
      </c>
      <c r="C40" s="10"/>
      <c r="D40" s="1"/>
      <c r="E40" s="1"/>
      <c r="F40" s="1"/>
    </row>
    <row r="41" spans="1:6" ht="15.6" hidden="1" x14ac:dyDescent="0.3">
      <c r="A41" s="6" t="s">
        <v>27</v>
      </c>
      <c r="B41" s="7"/>
      <c r="C41" s="10"/>
      <c r="D41" s="1"/>
      <c r="E41" s="1"/>
      <c r="F41" s="1"/>
    </row>
    <row r="42" spans="1:6" ht="15.6" thickBot="1" x14ac:dyDescent="0.3">
      <c r="A42" s="1"/>
      <c r="B42" s="30">
        <f>SUM(B38:B41)</f>
        <v>229316.44</v>
      </c>
      <c r="C42" s="31"/>
      <c r="D42" s="1"/>
      <c r="E42" s="1"/>
      <c r="F42" s="1"/>
    </row>
    <row r="43" spans="1:6" ht="15.6" thickTop="1" x14ac:dyDescent="0.25">
      <c r="A43" s="1"/>
      <c r="B43" s="1"/>
      <c r="C43" s="32"/>
      <c r="D43" s="1"/>
      <c r="E43" s="1"/>
      <c r="F43" s="1"/>
    </row>
  </sheetData>
  <mergeCells count="3">
    <mergeCell ref="A1:D1"/>
    <mergeCell ref="A2:D2"/>
    <mergeCell ref="A3:D3"/>
  </mergeCells>
  <pageMargins left="0.45" right="0.2" top="0.75" bottom="0.75" header="0.3" footer="0.3"/>
  <pageSetup scale="8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33"/>
  <sheetViews>
    <sheetView workbookViewId="0">
      <selection activeCell="C22" sqref="C22"/>
    </sheetView>
  </sheetViews>
  <sheetFormatPr defaultRowHeight="14.4" x14ac:dyDescent="0.3"/>
  <cols>
    <col min="1" max="1" width="24.33203125" customWidth="1"/>
    <col min="2" max="2" width="14.6640625" bestFit="1" customWidth="1"/>
    <col min="6" max="6" width="11.88671875" customWidth="1"/>
  </cols>
  <sheetData>
    <row r="1" spans="1:4" x14ac:dyDescent="0.3">
      <c r="A1" s="33" t="s">
        <v>61</v>
      </c>
    </row>
    <row r="2" spans="1:4" x14ac:dyDescent="0.3">
      <c r="A2" t="s">
        <v>29</v>
      </c>
      <c r="B2" s="34">
        <v>2966982.55</v>
      </c>
    </row>
    <row r="3" spans="1:4" x14ac:dyDescent="0.3">
      <c r="A3" t="s">
        <v>30</v>
      </c>
      <c r="B3" s="35">
        <v>0</v>
      </c>
    </row>
    <row r="4" spans="1:4" x14ac:dyDescent="0.3">
      <c r="A4" t="s">
        <v>31</v>
      </c>
      <c r="B4" s="34">
        <v>782346.15</v>
      </c>
    </row>
    <row r="5" spans="1:4" x14ac:dyDescent="0.3">
      <c r="A5" t="s">
        <v>32</v>
      </c>
      <c r="B5" s="34">
        <v>-781318.03</v>
      </c>
      <c r="D5" s="35"/>
    </row>
    <row r="6" spans="1:4" x14ac:dyDescent="0.3">
      <c r="A6" t="s">
        <v>33</v>
      </c>
      <c r="B6" s="34">
        <f>2161530.44+225000</f>
        <v>2386530.44</v>
      </c>
      <c r="C6" t="s">
        <v>62</v>
      </c>
    </row>
    <row r="7" spans="1:4" x14ac:dyDescent="0.3">
      <c r="A7" t="s">
        <v>35</v>
      </c>
      <c r="B7" s="34">
        <f>-2191122.73+-B21</f>
        <v>-2079548.6199999999</v>
      </c>
    </row>
    <row r="8" spans="1:4" x14ac:dyDescent="0.3">
      <c r="A8" t="s">
        <v>36</v>
      </c>
      <c r="B8" s="36">
        <v>298548.46999999997</v>
      </c>
      <c r="C8" t="s">
        <v>37</v>
      </c>
    </row>
    <row r="9" spans="1:4" x14ac:dyDescent="0.3">
      <c r="A9" t="s">
        <v>38</v>
      </c>
      <c r="B9" s="34">
        <v>-298017.59000000003</v>
      </c>
    </row>
    <row r="10" spans="1:4" x14ac:dyDescent="0.3">
      <c r="A10" t="s">
        <v>39</v>
      </c>
      <c r="B10" s="34">
        <f>418.3</f>
        <v>418.3</v>
      </c>
    </row>
    <row r="11" spans="1:4" x14ac:dyDescent="0.3">
      <c r="A11" t="s">
        <v>40</v>
      </c>
      <c r="B11" s="34">
        <v>-225000</v>
      </c>
      <c r="C11" t="s">
        <v>63</v>
      </c>
    </row>
    <row r="12" spans="1:4" x14ac:dyDescent="0.3">
      <c r="A12" t="s">
        <v>16</v>
      </c>
      <c r="B12" s="34">
        <v>0</v>
      </c>
    </row>
    <row r="13" spans="1:4" x14ac:dyDescent="0.3">
      <c r="A13" t="s">
        <v>42</v>
      </c>
      <c r="B13" s="34">
        <v>0</v>
      </c>
    </row>
    <row r="14" spans="1:4" x14ac:dyDescent="0.3">
      <c r="A14" t="s">
        <v>57</v>
      </c>
      <c r="B14" s="34"/>
    </row>
    <row r="15" spans="1:4" x14ac:dyDescent="0.3">
      <c r="A15" t="s">
        <v>43</v>
      </c>
      <c r="B15" s="37">
        <f>SUM(B2:B14)</f>
        <v>3050941.669999999</v>
      </c>
    </row>
    <row r="16" spans="1:4" x14ac:dyDescent="0.3">
      <c r="A16" t="s">
        <v>44</v>
      </c>
      <c r="B16" s="34">
        <v>-3050941.67</v>
      </c>
    </row>
    <row r="17" spans="1:3" ht="15" thickBot="1" x14ac:dyDescent="0.35">
      <c r="A17" t="s">
        <v>45</v>
      </c>
      <c r="B17" s="38">
        <f>SUM(B15:B16)</f>
        <v>0</v>
      </c>
    </row>
    <row r="18" spans="1:3" ht="15" thickTop="1" x14ac:dyDescent="0.3">
      <c r="B18" s="39"/>
    </row>
    <row r="19" spans="1:3" x14ac:dyDescent="0.3">
      <c r="A19" t="s">
        <v>29</v>
      </c>
      <c r="B19" s="35">
        <v>3591021.84</v>
      </c>
    </row>
    <row r="20" spans="1:3" x14ac:dyDescent="0.3">
      <c r="A20" t="s">
        <v>56</v>
      </c>
      <c r="B20" s="34">
        <v>560.87</v>
      </c>
    </row>
    <row r="21" spans="1:3" x14ac:dyDescent="0.3">
      <c r="A21" t="s">
        <v>46</v>
      </c>
      <c r="B21" s="34">
        <v>-111574.11</v>
      </c>
      <c r="C21" t="s">
        <v>47</v>
      </c>
    </row>
    <row r="22" spans="1:3" x14ac:dyDescent="0.3">
      <c r="A22" t="s">
        <v>33</v>
      </c>
      <c r="B22" s="34"/>
    </row>
    <row r="23" spans="1:3" x14ac:dyDescent="0.3">
      <c r="A23" t="s">
        <v>39</v>
      </c>
      <c r="B23" s="34"/>
    </row>
    <row r="24" spans="1:3" x14ac:dyDescent="0.3">
      <c r="A24" t="s">
        <v>40</v>
      </c>
      <c r="B24" s="34"/>
    </row>
    <row r="25" spans="1:3" x14ac:dyDescent="0.3">
      <c r="A25" t="s">
        <v>48</v>
      </c>
      <c r="B25" s="34">
        <v>67273.25</v>
      </c>
    </row>
    <row r="26" spans="1:3" x14ac:dyDescent="0.3">
      <c r="A26" t="s">
        <v>42</v>
      </c>
      <c r="B26" s="34">
        <v>0</v>
      </c>
    </row>
    <row r="27" spans="1:3" x14ac:dyDescent="0.3">
      <c r="A27" t="s">
        <v>49</v>
      </c>
      <c r="B27" s="34">
        <v>19.03</v>
      </c>
    </row>
    <row r="28" spans="1:3" x14ac:dyDescent="0.3">
      <c r="A28" t="s">
        <v>50</v>
      </c>
      <c r="B28" s="34">
        <v>44.54</v>
      </c>
    </row>
    <row r="29" spans="1:3" x14ac:dyDescent="0.3">
      <c r="A29" t="s">
        <v>57</v>
      </c>
      <c r="B29" s="34"/>
    </row>
    <row r="30" spans="1:3" x14ac:dyDescent="0.3">
      <c r="A30" t="s">
        <v>51</v>
      </c>
      <c r="B30" s="40">
        <f>SUM(B19:B29)</f>
        <v>3547345.42</v>
      </c>
    </row>
    <row r="31" spans="1:3" x14ac:dyDescent="0.3">
      <c r="A31" t="s">
        <v>52</v>
      </c>
      <c r="B31" s="35">
        <v>-3547345.42</v>
      </c>
    </row>
    <row r="32" spans="1:3" ht="15" thickBot="1" x14ac:dyDescent="0.35">
      <c r="A32" t="s">
        <v>45</v>
      </c>
      <c r="B32" s="42">
        <f>SUM(B30:B31)</f>
        <v>0</v>
      </c>
    </row>
    <row r="33" ht="15" thickTop="1" x14ac:dyDescent="0.3"/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transitionEvaluation="1" transitionEntry="1">
    <pageSetUpPr fitToPage="1"/>
  </sheetPr>
  <dimension ref="A1:H38"/>
  <sheetViews>
    <sheetView workbookViewId="0">
      <selection activeCell="A4" sqref="A4:H4"/>
    </sheetView>
  </sheetViews>
  <sheetFormatPr defaultColWidth="9.109375" defaultRowHeight="13.2" x14ac:dyDescent="0.25"/>
  <cols>
    <col min="1" max="1" width="13.5546875" style="66" customWidth="1"/>
    <col min="2" max="2" width="14" style="66" bestFit="1" customWidth="1"/>
    <col min="3" max="3" width="2" style="66" customWidth="1"/>
    <col min="4" max="4" width="10.109375" style="66" customWidth="1"/>
    <col min="5" max="5" width="13.33203125" style="66" bestFit="1" customWidth="1"/>
    <col min="6" max="6" width="15.109375" style="66" customWidth="1"/>
    <col min="7" max="7" width="14.6640625" style="66" customWidth="1"/>
    <col min="8" max="8" width="14.5546875" style="66" bestFit="1" customWidth="1"/>
    <col min="9" max="9" width="18.44140625" style="66" customWidth="1"/>
    <col min="10" max="16384" width="9.109375" style="66"/>
  </cols>
  <sheetData>
    <row r="1" spans="1:8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8" x14ac:dyDescent="0.25">
      <c r="A2" s="97" t="s">
        <v>172</v>
      </c>
      <c r="B2" s="97"/>
      <c r="C2" s="97"/>
      <c r="D2" s="97"/>
      <c r="E2" s="97"/>
      <c r="F2" s="97"/>
      <c r="G2" s="97"/>
      <c r="H2" s="97"/>
    </row>
    <row r="3" spans="1:8" x14ac:dyDescent="0.25">
      <c r="A3" s="97" t="s">
        <v>173</v>
      </c>
      <c r="B3" s="97"/>
      <c r="C3" s="97"/>
      <c r="D3" s="97"/>
      <c r="E3" s="97"/>
      <c r="F3" s="97"/>
      <c r="G3" s="97"/>
      <c r="H3" s="97"/>
    </row>
    <row r="4" spans="1:8" x14ac:dyDescent="0.25">
      <c r="A4" s="97" t="s">
        <v>201</v>
      </c>
      <c r="B4" s="97"/>
      <c r="C4" s="97"/>
      <c r="D4" s="97"/>
      <c r="E4" s="97"/>
      <c r="F4" s="97"/>
      <c r="G4" s="97"/>
      <c r="H4" s="97"/>
    </row>
    <row r="5" spans="1:8" x14ac:dyDescent="0.25">
      <c r="A5" s="67"/>
      <c r="B5" s="67"/>
      <c r="C5" s="67"/>
      <c r="D5" s="67"/>
      <c r="E5" s="67"/>
      <c r="F5" s="67"/>
      <c r="G5" s="67"/>
      <c r="H5" s="67"/>
    </row>
    <row r="6" spans="1:8" x14ac:dyDescent="0.25">
      <c r="A6" s="67"/>
      <c r="B6" s="67"/>
      <c r="C6" s="67"/>
      <c r="D6" s="67"/>
      <c r="E6" s="67"/>
      <c r="F6" s="67"/>
      <c r="G6" s="67"/>
      <c r="H6" s="67"/>
    </row>
    <row r="7" spans="1:8" x14ac:dyDescent="0.25">
      <c r="A7" s="67"/>
      <c r="B7" s="67"/>
      <c r="C7" s="67"/>
      <c r="D7" s="67"/>
      <c r="E7" s="67"/>
      <c r="F7" s="67"/>
      <c r="G7" s="67"/>
      <c r="H7" s="67"/>
    </row>
    <row r="8" spans="1:8" x14ac:dyDescent="0.25">
      <c r="A8" s="68" t="s">
        <v>174</v>
      </c>
      <c r="B8" s="67"/>
      <c r="C8" s="67"/>
      <c r="D8" s="67"/>
      <c r="E8" s="67"/>
      <c r="F8" s="67"/>
      <c r="G8" s="69">
        <v>1354766.44</v>
      </c>
      <c r="H8" s="67"/>
    </row>
    <row r="9" spans="1:8" x14ac:dyDescent="0.25">
      <c r="A9" s="67"/>
      <c r="B9" s="67"/>
      <c r="C9" s="67"/>
      <c r="D9" s="67"/>
      <c r="E9" s="67"/>
      <c r="F9" s="67"/>
      <c r="G9" s="67"/>
      <c r="H9" s="67"/>
    </row>
    <row r="10" spans="1:8" x14ac:dyDescent="0.25">
      <c r="A10" s="68" t="s">
        <v>175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/>
      <c r="B11" s="69"/>
      <c r="C11" s="67"/>
      <c r="D11" s="67"/>
      <c r="E11" s="67"/>
      <c r="F11" s="67"/>
      <c r="G11" s="71"/>
      <c r="H11" s="67"/>
    </row>
    <row r="12" spans="1:8" x14ac:dyDescent="0.25">
      <c r="A12" s="67"/>
      <c r="B12" s="67"/>
      <c r="C12" s="67"/>
      <c r="D12" s="67"/>
      <c r="E12" s="67"/>
      <c r="F12" s="67"/>
      <c r="G12" s="67"/>
      <c r="H12" s="67"/>
    </row>
    <row r="13" spans="1:8" x14ac:dyDescent="0.25">
      <c r="A13" s="67"/>
      <c r="B13" s="67"/>
      <c r="C13" s="67"/>
      <c r="D13" s="67"/>
      <c r="E13" s="67"/>
      <c r="F13" s="67"/>
      <c r="G13" s="67"/>
      <c r="H13" s="67"/>
    </row>
    <row r="14" spans="1:8" x14ac:dyDescent="0.25">
      <c r="A14" s="68" t="s">
        <v>176</v>
      </c>
      <c r="B14" s="67"/>
      <c r="C14" s="67"/>
      <c r="D14" s="67"/>
      <c r="E14" s="67"/>
      <c r="F14" s="67"/>
      <c r="G14" s="67"/>
      <c r="H14" s="67"/>
    </row>
    <row r="15" spans="1:8" x14ac:dyDescent="0.25">
      <c r="A15" s="70"/>
      <c r="B15" s="72"/>
      <c r="C15" s="67"/>
      <c r="D15" s="67"/>
      <c r="E15" s="69"/>
      <c r="F15" s="67"/>
      <c r="G15" s="67"/>
      <c r="H15" s="67"/>
    </row>
    <row r="16" spans="1:8" x14ac:dyDescent="0.25">
      <c r="A16" s="67"/>
      <c r="B16" s="72"/>
      <c r="C16" s="67"/>
      <c r="D16" s="67"/>
      <c r="E16" s="69"/>
      <c r="F16" s="67"/>
      <c r="G16" s="67"/>
      <c r="H16" s="67"/>
    </row>
    <row r="17" spans="1:8" x14ac:dyDescent="0.25">
      <c r="A17" s="73"/>
      <c r="B17" s="72"/>
      <c r="C17" s="73"/>
      <c r="D17" s="73"/>
      <c r="E17" s="69"/>
      <c r="F17" s="73"/>
      <c r="G17" s="73"/>
      <c r="H17" s="73"/>
    </row>
    <row r="18" spans="1:8" x14ac:dyDescent="0.25">
      <c r="A18" s="91"/>
      <c r="B18" s="72"/>
      <c r="C18" s="73"/>
      <c r="D18" s="73"/>
      <c r="E18" s="69"/>
      <c r="F18" s="73"/>
      <c r="G18" s="74"/>
      <c r="H18" s="73"/>
    </row>
    <row r="19" spans="1:8" x14ac:dyDescent="0.25">
      <c r="A19" s="73"/>
      <c r="B19" s="72"/>
      <c r="C19" s="73"/>
      <c r="D19" s="73"/>
      <c r="E19" s="73"/>
      <c r="F19" s="73"/>
      <c r="G19" s="73"/>
      <c r="H19" s="73"/>
    </row>
    <row r="20" spans="1:8" ht="13.8" thickBot="1" x14ac:dyDescent="0.3">
      <c r="A20" s="75" t="s">
        <v>177</v>
      </c>
      <c r="B20" s="72"/>
      <c r="C20" s="73"/>
      <c r="D20" s="73"/>
      <c r="E20" s="73"/>
      <c r="F20" s="73"/>
      <c r="G20" s="76">
        <f>SUM(G8:G19)</f>
        <v>1354766.44</v>
      </c>
      <c r="H20" s="73"/>
    </row>
    <row r="21" spans="1:8" ht="13.8" thickTop="1" x14ac:dyDescent="0.25">
      <c r="A21" s="73"/>
      <c r="B21" s="69"/>
      <c r="C21" s="73"/>
      <c r="D21" s="73"/>
      <c r="E21" s="73"/>
      <c r="F21" s="73"/>
      <c r="G21" s="73"/>
      <c r="H21" s="73"/>
    </row>
    <row r="22" spans="1:8" x14ac:dyDescent="0.25">
      <c r="A22" s="75" t="s">
        <v>178</v>
      </c>
      <c r="B22" s="69"/>
      <c r="C22" s="73"/>
      <c r="D22" s="73"/>
      <c r="E22" s="73"/>
      <c r="F22" s="73"/>
      <c r="G22" s="69">
        <v>1354766.44</v>
      </c>
      <c r="H22" s="73"/>
    </row>
    <row r="23" spans="1:8" x14ac:dyDescent="0.25">
      <c r="A23" s="75" t="s">
        <v>179</v>
      </c>
      <c r="B23" s="73"/>
      <c r="C23" s="73"/>
      <c r="D23" s="73"/>
      <c r="E23" s="73"/>
      <c r="F23" s="73"/>
      <c r="G23" s="69"/>
      <c r="H23" s="73"/>
    </row>
    <row r="24" spans="1:8" x14ac:dyDescent="0.25">
      <c r="A24" s="73"/>
      <c r="B24" s="73"/>
      <c r="C24" s="73"/>
      <c r="D24" s="73"/>
      <c r="E24" s="73"/>
      <c r="F24" s="73"/>
      <c r="G24" s="73"/>
      <c r="H24" s="73"/>
    </row>
    <row r="25" spans="1:8" x14ac:dyDescent="0.25">
      <c r="A25" s="73"/>
      <c r="B25" s="73"/>
      <c r="C25" s="73"/>
      <c r="D25" s="73"/>
      <c r="E25" s="73"/>
      <c r="F25" s="73"/>
      <c r="G25" s="73"/>
      <c r="H25" s="73"/>
    </row>
    <row r="26" spans="1:8" ht="13.8" thickBot="1" x14ac:dyDescent="0.3">
      <c r="A26" s="75" t="s">
        <v>180</v>
      </c>
      <c r="B26" s="73"/>
      <c r="C26" s="73"/>
      <c r="D26" s="73"/>
      <c r="E26" s="73"/>
      <c r="F26" s="73"/>
      <c r="G26" s="77">
        <f>SUM(G22:G25)</f>
        <v>1354766.44</v>
      </c>
      <c r="H26" s="73"/>
    </row>
    <row r="27" spans="1:8" ht="15" thickTop="1" x14ac:dyDescent="0.3">
      <c r="A27" s="73"/>
      <c r="B27" s="73"/>
      <c r="C27" s="73"/>
      <c r="D27" s="73"/>
      <c r="E27" s="73"/>
      <c r="F27" s="73"/>
      <c r="G27" s="78"/>
      <c r="H27" s="73"/>
    </row>
    <row r="28" spans="1:8" x14ac:dyDescent="0.25">
      <c r="A28" s="75" t="s">
        <v>181</v>
      </c>
      <c r="B28" s="73"/>
      <c r="C28" s="73"/>
      <c r="D28" s="73"/>
      <c r="E28" s="73"/>
      <c r="F28" s="73"/>
      <c r="G28" s="79">
        <f>G20-G26</f>
        <v>0</v>
      </c>
      <c r="H28" s="73"/>
    </row>
    <row r="29" spans="1:8" x14ac:dyDescent="0.25">
      <c r="A29" s="73"/>
      <c r="B29" s="73"/>
      <c r="C29" s="73"/>
      <c r="D29" s="73"/>
      <c r="E29" s="73"/>
      <c r="F29" s="73"/>
      <c r="G29" s="73"/>
      <c r="H29" s="73"/>
    </row>
    <row r="30" spans="1:8" ht="11.25" customHeight="1" x14ac:dyDescent="0.25">
      <c r="A30" s="73"/>
      <c r="B30" s="73"/>
      <c r="C30" s="73"/>
      <c r="D30" s="73"/>
      <c r="E30" s="73"/>
      <c r="F30" s="73"/>
      <c r="G30" s="73"/>
      <c r="H30" s="73"/>
    </row>
    <row r="31" spans="1:8" x14ac:dyDescent="0.25">
      <c r="A31" s="80" t="s">
        <v>182</v>
      </c>
      <c r="B31" s="80"/>
      <c r="C31" s="80"/>
      <c r="D31" s="92"/>
      <c r="E31" s="80"/>
      <c r="F31" s="80"/>
      <c r="G31" s="80"/>
      <c r="H31" s="80"/>
    </row>
    <row r="32" spans="1:8" ht="14.4" x14ac:dyDescent="0.3">
      <c r="A32" s="80" t="s">
        <v>183</v>
      </c>
      <c r="B32" s="94">
        <f>1014869.83+290.6+313.54</f>
        <v>1015473.97</v>
      </c>
      <c r="C32" s="80"/>
      <c r="D32" s="82">
        <f>B32/B34</f>
        <v>0.74955648443727318</v>
      </c>
      <c r="E32" s="69">
        <f>D32*0</f>
        <v>0</v>
      </c>
      <c r="F32" s="80"/>
      <c r="G32" s="80"/>
      <c r="H32" s="80"/>
    </row>
    <row r="33" spans="1:8" ht="14.4" x14ac:dyDescent="0.3">
      <c r="A33" s="80" t="s">
        <v>145</v>
      </c>
      <c r="B33" s="94">
        <f>564104.69+161.52-78.5-225000+104.76</f>
        <v>339292.47</v>
      </c>
      <c r="C33" s="80" t="s">
        <v>184</v>
      </c>
      <c r="D33" s="82">
        <f>B33/B34</f>
        <v>0.25044351556272682</v>
      </c>
      <c r="E33" s="69">
        <f>-E32+0</f>
        <v>0</v>
      </c>
      <c r="F33" s="83" t="s">
        <v>198</v>
      </c>
      <c r="G33" s="84">
        <f>E33*1</f>
        <v>0</v>
      </c>
      <c r="H33" s="80"/>
    </row>
    <row r="34" spans="1:8" ht="15" thickBot="1" x14ac:dyDescent="0.35">
      <c r="A34" s="80"/>
      <c r="B34" s="93">
        <f>SUM(B32:B33)</f>
        <v>1354766.44</v>
      </c>
      <c r="C34" s="80"/>
      <c r="D34" s="86">
        <f>SUM(D32:D33)</f>
        <v>1</v>
      </c>
      <c r="E34" s="87"/>
      <c r="F34" s="83" t="s">
        <v>199</v>
      </c>
      <c r="G34" s="84">
        <f>E33*0</f>
        <v>0</v>
      </c>
      <c r="H34" s="80"/>
    </row>
    <row r="35" spans="1:8" ht="13.8" thickTop="1" x14ac:dyDescent="0.25">
      <c r="A35" s="80"/>
      <c r="B35" s="80"/>
      <c r="C35" s="80"/>
      <c r="D35" s="80"/>
      <c r="E35" s="80"/>
      <c r="F35" s="88"/>
      <c r="G35" s="80"/>
      <c r="H35" s="80"/>
    </row>
    <row r="36" spans="1:8" x14ac:dyDescent="0.25">
      <c r="A36" s="83" t="s">
        <v>187</v>
      </c>
      <c r="B36" s="80"/>
      <c r="C36" s="80"/>
      <c r="D36" s="80"/>
      <c r="E36" s="80"/>
      <c r="F36" s="80"/>
      <c r="G36" s="80"/>
      <c r="H36" s="80"/>
    </row>
    <row r="38" spans="1:8" ht="14.4" x14ac:dyDescent="0.3">
      <c r="A38" s="89">
        <v>0</v>
      </c>
      <c r="B38" s="90">
        <f>A38/B33</f>
        <v>0</v>
      </c>
    </row>
  </sheetData>
  <mergeCells count="4">
    <mergeCell ref="A1:H1"/>
    <mergeCell ref="A2:H2"/>
    <mergeCell ref="A3:H3"/>
    <mergeCell ref="A4:H4"/>
  </mergeCells>
  <pageMargins left="0.54" right="0.45" top="0.52" bottom="0.48" header="0.37" footer="0.22"/>
  <pageSetup fitToHeight="2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J43"/>
  <sheetViews>
    <sheetView zoomScaleNormal="100" workbookViewId="0">
      <selection activeCell="B10" sqref="B10"/>
    </sheetView>
  </sheetViews>
  <sheetFormatPr defaultColWidth="9.109375" defaultRowHeight="15" x14ac:dyDescent="0.25"/>
  <cols>
    <col min="1" max="1" width="49.44140625" style="2" bestFit="1" customWidth="1"/>
    <col min="2" max="4" width="19.109375" style="2" customWidth="1"/>
    <col min="5" max="5" width="5.88671875" style="2" customWidth="1"/>
    <col min="6" max="7" width="9.109375" style="2"/>
    <col min="8" max="8" width="15.6640625" style="2" customWidth="1"/>
    <col min="9" max="9" width="3.5546875" style="2" customWidth="1"/>
    <col min="10" max="10" width="15.109375" style="2" bestFit="1" customWidth="1"/>
    <col min="11" max="16384" width="9.109375" style="2"/>
  </cols>
  <sheetData>
    <row r="1" spans="1:10" ht="15.6" x14ac:dyDescent="0.3">
      <c r="A1" s="96" t="s">
        <v>0</v>
      </c>
      <c r="B1" s="96"/>
      <c r="C1" s="96"/>
      <c r="D1" s="96"/>
      <c r="E1" s="1"/>
      <c r="F1" s="1"/>
    </row>
    <row r="2" spans="1:10" ht="15.6" x14ac:dyDescent="0.3">
      <c r="A2" s="96" t="s">
        <v>1</v>
      </c>
      <c r="B2" s="96"/>
      <c r="C2" s="96"/>
      <c r="D2" s="96"/>
      <c r="E2" s="1"/>
      <c r="F2" s="1"/>
    </row>
    <row r="3" spans="1:10" ht="15.6" x14ac:dyDescent="0.3">
      <c r="A3" s="96" t="s">
        <v>54</v>
      </c>
      <c r="B3" s="96"/>
      <c r="C3" s="96"/>
      <c r="D3" s="96"/>
      <c r="E3" s="1"/>
      <c r="F3" s="1"/>
    </row>
    <row r="4" spans="1:10" ht="15.6" x14ac:dyDescent="0.3">
      <c r="A4" s="3"/>
      <c r="B4" s="3"/>
      <c r="C4" s="3"/>
      <c r="D4" s="3"/>
      <c r="E4" s="1"/>
      <c r="F4" s="1"/>
    </row>
    <row r="5" spans="1:10" ht="15.6" x14ac:dyDescent="0.3">
      <c r="A5" s="3"/>
      <c r="B5" s="3"/>
      <c r="C5" s="3"/>
      <c r="D5" s="3"/>
      <c r="E5" s="1"/>
      <c r="F5" s="1"/>
    </row>
    <row r="6" spans="1:10" x14ac:dyDescent="0.25">
      <c r="A6" s="1"/>
      <c r="B6" s="1"/>
      <c r="C6" s="1"/>
      <c r="D6" s="4"/>
      <c r="E6" s="1"/>
      <c r="F6" s="1"/>
    </row>
    <row r="7" spans="1:10" x14ac:dyDescent="0.25">
      <c r="A7" s="1"/>
      <c r="B7" s="1"/>
      <c r="C7" s="1"/>
      <c r="D7" s="1"/>
      <c r="E7" s="1"/>
      <c r="F7" s="1"/>
      <c r="G7" s="5"/>
      <c r="H7" s="5"/>
      <c r="I7" s="5"/>
      <c r="J7" s="5"/>
    </row>
    <row r="8" spans="1:10" ht="15.6" x14ac:dyDescent="0.3">
      <c r="A8" s="6"/>
      <c r="B8" s="7"/>
      <c r="C8" s="7"/>
      <c r="D8" s="8"/>
      <c r="E8" s="1"/>
      <c r="F8" s="1"/>
      <c r="G8" s="5"/>
      <c r="H8" s="9"/>
      <c r="I8" s="5"/>
      <c r="J8" s="9"/>
    </row>
    <row r="9" spans="1:10" ht="15.6" x14ac:dyDescent="0.3">
      <c r="A9" s="6" t="s">
        <v>3</v>
      </c>
      <c r="B9" s="7">
        <v>399266.76</v>
      </c>
      <c r="C9" s="7"/>
      <c r="D9" s="8"/>
      <c r="E9" s="1"/>
      <c r="F9" s="1"/>
      <c r="G9" s="5"/>
      <c r="H9" s="9"/>
      <c r="I9" s="5"/>
      <c r="J9" s="9"/>
    </row>
    <row r="10" spans="1:10" ht="15.6" x14ac:dyDescent="0.3">
      <c r="A10" s="6" t="s">
        <v>4</v>
      </c>
      <c r="B10" s="10">
        <f>211446.28-24779.88+78.5</f>
        <v>186744.9</v>
      </c>
      <c r="C10" s="10"/>
      <c r="D10" s="8"/>
      <c r="E10" s="1"/>
      <c r="F10" s="1"/>
      <c r="G10" s="5"/>
      <c r="H10" s="9"/>
      <c r="I10" s="5"/>
      <c r="J10" s="9"/>
    </row>
    <row r="11" spans="1:10" ht="15.6" x14ac:dyDescent="0.3">
      <c r="A11" s="6" t="s">
        <v>5</v>
      </c>
      <c r="B11" s="10">
        <v>0</v>
      </c>
      <c r="C11" s="11"/>
      <c r="D11" s="8"/>
      <c r="E11" s="1"/>
      <c r="F11" s="1"/>
      <c r="H11" s="12"/>
    </row>
    <row r="12" spans="1:10" ht="15.6" x14ac:dyDescent="0.3">
      <c r="A12" s="6" t="s">
        <v>6</v>
      </c>
      <c r="B12" s="10">
        <v>2000885.12</v>
      </c>
      <c r="C12" s="11"/>
      <c r="D12" s="8"/>
      <c r="E12" s="1"/>
      <c r="F12" s="1"/>
      <c r="H12" s="12"/>
    </row>
    <row r="13" spans="1:10" ht="15.6" x14ac:dyDescent="0.3">
      <c r="A13" s="6" t="s">
        <v>7</v>
      </c>
      <c r="B13" s="10">
        <v>299392.45</v>
      </c>
      <c r="C13" s="11"/>
      <c r="D13" s="8"/>
      <c r="E13" s="1"/>
      <c r="F13" s="1"/>
      <c r="H13" s="12"/>
    </row>
    <row r="14" spans="1:10" ht="15.6" x14ac:dyDescent="0.3">
      <c r="A14" s="6" t="s">
        <v>8</v>
      </c>
      <c r="B14" s="10">
        <v>700717.46</v>
      </c>
      <c r="C14" s="11"/>
      <c r="D14" s="8"/>
      <c r="E14" s="1"/>
      <c r="F14" s="1"/>
      <c r="H14" s="12"/>
    </row>
    <row r="15" spans="1:10" ht="15.6" x14ac:dyDescent="0.3">
      <c r="A15" s="6" t="s">
        <v>55</v>
      </c>
      <c r="B15" s="13">
        <v>4015.15</v>
      </c>
      <c r="C15" s="14"/>
      <c r="D15" s="8"/>
      <c r="E15" s="1"/>
      <c r="F15" s="1"/>
      <c r="H15" s="12"/>
    </row>
    <row r="16" spans="1:10" ht="15.6" x14ac:dyDescent="0.3">
      <c r="A16" s="15" t="s">
        <v>9</v>
      </c>
      <c r="B16" s="7"/>
      <c r="C16" s="7">
        <f>SUM(B8:B15)</f>
        <v>3591021.8400000003</v>
      </c>
      <c r="D16" s="8"/>
      <c r="E16" s="1"/>
      <c r="F16" s="1"/>
      <c r="G16" s="5"/>
      <c r="H16" s="16"/>
      <c r="I16" s="17"/>
      <c r="J16" s="16"/>
    </row>
    <row r="17" spans="1:8" x14ac:dyDescent="0.25">
      <c r="A17" s="1"/>
      <c r="B17" s="7"/>
      <c r="C17" s="7"/>
      <c r="D17" s="8"/>
      <c r="E17" s="1"/>
      <c r="F17" s="1"/>
    </row>
    <row r="18" spans="1:8" ht="15.6" x14ac:dyDescent="0.3">
      <c r="A18" s="6" t="s">
        <v>10</v>
      </c>
      <c r="B18" s="18">
        <v>516406.26</v>
      </c>
      <c r="C18" s="7"/>
      <c r="D18" s="8"/>
      <c r="E18" s="1"/>
      <c r="F18" s="1"/>
      <c r="H18" s="12"/>
    </row>
    <row r="19" spans="1:8" ht="15.6" x14ac:dyDescent="0.3">
      <c r="A19" s="6" t="s">
        <v>11</v>
      </c>
      <c r="B19" s="7">
        <f>-B10+1043399.51</f>
        <v>856654.61</v>
      </c>
      <c r="C19" s="10"/>
      <c r="D19" s="8"/>
      <c r="E19" s="1"/>
      <c r="F19" s="1"/>
      <c r="H19" s="12"/>
    </row>
    <row r="20" spans="1:8" ht="15.6" x14ac:dyDescent="0.3">
      <c r="A20" s="6" t="s">
        <v>12</v>
      </c>
      <c r="B20" s="7">
        <f>-B11+1579348.14</f>
        <v>1579348.14</v>
      </c>
      <c r="C20" s="11"/>
      <c r="D20" s="8"/>
      <c r="E20" s="1"/>
      <c r="F20" s="1"/>
      <c r="H20" s="12"/>
    </row>
    <row r="21" spans="1:8" ht="15.6" x14ac:dyDescent="0.3">
      <c r="A21" s="6" t="s">
        <v>13</v>
      </c>
      <c r="B21" s="19">
        <f>2800+1665+10108.54</f>
        <v>14573.54</v>
      </c>
      <c r="C21" s="13"/>
      <c r="D21" s="8"/>
      <c r="E21" s="1"/>
      <c r="F21" s="1"/>
      <c r="H21" s="12"/>
    </row>
    <row r="22" spans="1:8" ht="15.6" x14ac:dyDescent="0.3">
      <c r="A22" s="6" t="s">
        <v>14</v>
      </c>
      <c r="B22" s="10"/>
      <c r="C22" s="10">
        <f>SUM(B18:B21)</f>
        <v>2966982.55</v>
      </c>
      <c r="D22" s="8"/>
      <c r="E22" s="1"/>
      <c r="F22" s="1"/>
      <c r="H22" s="12"/>
    </row>
    <row r="23" spans="1:8" ht="6" customHeight="1" x14ac:dyDescent="0.3">
      <c r="A23" s="6"/>
      <c r="B23" s="10"/>
      <c r="C23" s="10"/>
      <c r="D23" s="8"/>
      <c r="E23" s="1"/>
      <c r="F23" s="1"/>
      <c r="H23" s="12"/>
    </row>
    <row r="24" spans="1:8" ht="15.6" x14ac:dyDescent="0.3">
      <c r="A24" s="6" t="s">
        <v>15</v>
      </c>
      <c r="B24" s="7"/>
      <c r="C24" s="20">
        <f>C16+C22</f>
        <v>6558004.3900000006</v>
      </c>
      <c r="D24" s="8"/>
      <c r="E24" s="1"/>
      <c r="F24" s="1"/>
      <c r="H24" s="12"/>
    </row>
    <row r="25" spans="1:8" ht="6" customHeight="1" x14ac:dyDescent="0.25">
      <c r="A25" s="1"/>
      <c r="B25" s="7"/>
      <c r="C25" s="7"/>
      <c r="D25" s="8"/>
      <c r="E25" s="1"/>
      <c r="F25" s="1"/>
    </row>
    <row r="26" spans="1:8" ht="15.6" x14ac:dyDescent="0.3">
      <c r="A26" s="6" t="s">
        <v>16</v>
      </c>
      <c r="B26" s="7"/>
      <c r="C26" s="10">
        <v>0</v>
      </c>
      <c r="D26" s="21"/>
      <c r="E26" s="1"/>
      <c r="F26" s="1"/>
      <c r="H26" s="22"/>
    </row>
    <row r="27" spans="1:8" ht="6" customHeight="1" x14ac:dyDescent="0.3">
      <c r="A27" s="6"/>
      <c r="B27" s="10"/>
      <c r="C27" s="10"/>
      <c r="D27" s="21"/>
      <c r="E27" s="1"/>
      <c r="F27" s="1"/>
      <c r="H27" s="22"/>
    </row>
    <row r="28" spans="1:8" ht="16.2" thickBot="1" x14ac:dyDescent="0.35">
      <c r="A28" s="6" t="s">
        <v>17</v>
      </c>
      <c r="B28" s="7"/>
      <c r="C28" s="23">
        <f>C16+B30</f>
        <v>6558004.3900000006</v>
      </c>
      <c r="E28" s="1"/>
      <c r="F28" s="1"/>
      <c r="H28" s="22"/>
    </row>
    <row r="29" spans="1:8" ht="15.6" thickTop="1" x14ac:dyDescent="0.25">
      <c r="A29" s="1"/>
      <c r="B29" s="1"/>
      <c r="C29" s="1"/>
      <c r="D29" s="1"/>
      <c r="E29" s="1"/>
      <c r="F29" s="1"/>
    </row>
    <row r="30" spans="1:8" ht="16.2" thickBot="1" x14ac:dyDescent="0.35">
      <c r="A30" s="24" t="s">
        <v>18</v>
      </c>
      <c r="B30" s="25">
        <f>C22+C26</f>
        <v>2966982.55</v>
      </c>
      <c r="C30" s="26"/>
      <c r="D30" s="27"/>
      <c r="E30" s="26"/>
      <c r="F30" s="26"/>
    </row>
    <row r="31" spans="1:8" ht="16.2" thickTop="1" x14ac:dyDescent="0.3">
      <c r="A31" s="24"/>
      <c r="B31" s="10"/>
      <c r="C31" s="26"/>
      <c r="D31" s="27"/>
      <c r="E31" s="26"/>
      <c r="F31" s="26"/>
    </row>
    <row r="32" spans="1:8" ht="5.25" customHeight="1" x14ac:dyDescent="0.3">
      <c r="A32" s="24"/>
      <c r="B32" s="10"/>
      <c r="C32" s="26"/>
      <c r="D32" s="27"/>
      <c r="E32" s="26"/>
      <c r="F32" s="26"/>
    </row>
    <row r="33" spans="1:6" ht="15.6" x14ac:dyDescent="0.3">
      <c r="A33" s="28" t="s">
        <v>60</v>
      </c>
      <c r="B33" s="1"/>
      <c r="C33" s="1"/>
      <c r="D33" s="1"/>
      <c r="E33" s="1"/>
      <c r="F33" s="1"/>
    </row>
    <row r="34" spans="1:6" ht="15.6" x14ac:dyDescent="0.3">
      <c r="A34" s="29" t="s">
        <v>58</v>
      </c>
      <c r="B34" s="1"/>
      <c r="C34" s="1"/>
      <c r="D34" s="1"/>
      <c r="E34" s="1"/>
      <c r="F34" s="1"/>
    </row>
    <row r="35" spans="1:6" ht="15.6" x14ac:dyDescent="0.3">
      <c r="A35" s="6" t="s">
        <v>59</v>
      </c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ht="15.6" x14ac:dyDescent="0.3">
      <c r="A37" s="6" t="s">
        <v>22</v>
      </c>
      <c r="B37" s="1"/>
      <c r="C37" s="1"/>
      <c r="D37" s="1"/>
      <c r="E37" s="1"/>
      <c r="F37" s="1"/>
    </row>
    <row r="38" spans="1:6" ht="15.6" x14ac:dyDescent="0.3">
      <c r="A38" s="6" t="s">
        <v>23</v>
      </c>
      <c r="B38" s="7">
        <f>14969.75+8981.51+1496.92+1496.92</f>
        <v>26945.1</v>
      </c>
      <c r="C38" s="10"/>
      <c r="D38" s="1"/>
      <c r="E38" s="1"/>
      <c r="F38" s="1"/>
    </row>
    <row r="39" spans="1:6" ht="15.6" x14ac:dyDescent="0.3">
      <c r="A39" s="6" t="s">
        <v>25</v>
      </c>
      <c r="B39" s="7">
        <f>171037.91+35933.44</f>
        <v>206971.35</v>
      </c>
      <c r="C39" s="10"/>
      <c r="D39" s="1"/>
      <c r="E39" s="1"/>
      <c r="F39" s="1"/>
    </row>
    <row r="40" spans="1:6" ht="15.6" x14ac:dyDescent="0.3">
      <c r="A40" s="6" t="s">
        <v>26</v>
      </c>
      <c r="B40" s="7">
        <f>58457.82</f>
        <v>58457.82</v>
      </c>
      <c r="C40" s="10"/>
      <c r="D40" s="1"/>
      <c r="E40" s="1"/>
      <c r="F40" s="1"/>
    </row>
    <row r="41" spans="1:6" ht="15.6" hidden="1" x14ac:dyDescent="0.3">
      <c r="A41" s="6" t="s">
        <v>27</v>
      </c>
      <c r="B41" s="7"/>
      <c r="C41" s="10"/>
      <c r="D41" s="1"/>
      <c r="E41" s="1"/>
      <c r="F41" s="1"/>
    </row>
    <row r="42" spans="1:6" ht="15.6" thickBot="1" x14ac:dyDescent="0.3">
      <c r="A42" s="1"/>
      <c r="B42" s="30">
        <f>SUM(B38:B41)</f>
        <v>292374.27</v>
      </c>
      <c r="C42" s="31"/>
      <c r="D42" s="1"/>
      <c r="E42" s="1"/>
      <c r="F42" s="1"/>
    </row>
    <row r="43" spans="1:6" ht="15.6" thickTop="1" x14ac:dyDescent="0.25">
      <c r="A43" s="1"/>
      <c r="B43" s="1"/>
      <c r="C43" s="32"/>
      <c r="D43" s="1"/>
      <c r="E43" s="1"/>
      <c r="F43" s="1"/>
    </row>
  </sheetData>
  <mergeCells count="3">
    <mergeCell ref="A1:D1"/>
    <mergeCell ref="A2:D2"/>
    <mergeCell ref="A3:D3"/>
  </mergeCells>
  <pageMargins left="0.45" right="0.2" top="0.75" bottom="0.75" header="0.3" footer="0.3"/>
  <pageSetup scale="8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D33"/>
  <sheetViews>
    <sheetView topLeftCell="A4" workbookViewId="0">
      <selection activeCell="B22" sqref="B22"/>
    </sheetView>
  </sheetViews>
  <sheetFormatPr defaultRowHeight="14.4" x14ac:dyDescent="0.3"/>
  <cols>
    <col min="1" max="1" width="24.33203125" customWidth="1"/>
    <col min="2" max="2" width="14.6640625" bestFit="1" customWidth="1"/>
    <col min="6" max="6" width="11.88671875" customWidth="1"/>
  </cols>
  <sheetData>
    <row r="1" spans="1:4" x14ac:dyDescent="0.3">
      <c r="A1" s="33" t="s">
        <v>53</v>
      </c>
    </row>
    <row r="2" spans="1:4" x14ac:dyDescent="0.3">
      <c r="A2" t="s">
        <v>29</v>
      </c>
      <c r="B2" s="34">
        <v>3569317.17</v>
      </c>
    </row>
    <row r="3" spans="1:4" x14ac:dyDescent="0.3">
      <c r="A3" t="s">
        <v>30</v>
      </c>
      <c r="B3" s="35">
        <v>0</v>
      </c>
    </row>
    <row r="4" spans="1:4" x14ac:dyDescent="0.3">
      <c r="A4" t="s">
        <v>31</v>
      </c>
      <c r="B4" s="34">
        <v>718517.43</v>
      </c>
    </row>
    <row r="5" spans="1:4" x14ac:dyDescent="0.3">
      <c r="A5" t="s">
        <v>32</v>
      </c>
      <c r="B5" s="34">
        <v>-879734.57</v>
      </c>
      <c r="D5" s="35"/>
    </row>
    <row r="6" spans="1:4" x14ac:dyDescent="0.3">
      <c r="A6" t="s">
        <v>33</v>
      </c>
      <c r="B6" s="34">
        <v>55388.44</v>
      </c>
      <c r="C6" t="s">
        <v>34</v>
      </c>
    </row>
    <row r="7" spans="1:4" x14ac:dyDescent="0.3">
      <c r="A7" t="s">
        <v>35</v>
      </c>
      <c r="B7" s="34">
        <f>-647205.12+-B21</f>
        <v>-622425.24</v>
      </c>
    </row>
    <row r="8" spans="1:4" x14ac:dyDescent="0.3">
      <c r="A8" t="s">
        <v>36</v>
      </c>
      <c r="B8" s="36">
        <v>222703.93</v>
      </c>
      <c r="C8" t="s">
        <v>37</v>
      </c>
    </row>
    <row r="9" spans="1:4" x14ac:dyDescent="0.3">
      <c r="A9" t="s">
        <v>38</v>
      </c>
      <c r="B9" s="34">
        <v>-225088.85</v>
      </c>
    </row>
    <row r="10" spans="1:4" x14ac:dyDescent="0.3">
      <c r="A10" t="s">
        <v>39</v>
      </c>
      <c r="B10" s="34">
        <f>452.12</f>
        <v>452.12</v>
      </c>
    </row>
    <row r="11" spans="1:4" x14ac:dyDescent="0.3">
      <c r="A11" t="s">
        <v>40</v>
      </c>
      <c r="B11" s="34"/>
      <c r="C11" t="s">
        <v>41</v>
      </c>
    </row>
    <row r="12" spans="1:4" x14ac:dyDescent="0.3">
      <c r="A12" t="s">
        <v>16</v>
      </c>
      <c r="B12" s="34">
        <v>0</v>
      </c>
    </row>
    <row r="13" spans="1:4" x14ac:dyDescent="0.3">
      <c r="A13" t="s">
        <v>42</v>
      </c>
      <c r="B13" s="34">
        <v>131867.26999999999</v>
      </c>
    </row>
    <row r="14" spans="1:4" x14ac:dyDescent="0.3">
      <c r="A14" t="s">
        <v>57</v>
      </c>
      <c r="B14" s="34">
        <v>-4015.15</v>
      </c>
    </row>
    <row r="15" spans="1:4" x14ac:dyDescent="0.3">
      <c r="A15" t="s">
        <v>43</v>
      </c>
      <c r="B15" s="37">
        <f>SUM(B2:B14)</f>
        <v>2966982.55</v>
      </c>
    </row>
    <row r="16" spans="1:4" x14ac:dyDescent="0.3">
      <c r="A16" t="s">
        <v>44</v>
      </c>
      <c r="B16" s="34">
        <v>-2966982.55</v>
      </c>
    </row>
    <row r="17" spans="1:3" ht="15" thickBot="1" x14ac:dyDescent="0.35">
      <c r="A17" t="s">
        <v>45</v>
      </c>
      <c r="B17" s="38">
        <f>SUM(B15:B16)</f>
        <v>0</v>
      </c>
    </row>
    <row r="18" spans="1:3" ht="15" thickTop="1" x14ac:dyDescent="0.3">
      <c r="B18" s="39"/>
    </row>
    <row r="19" spans="1:3" x14ac:dyDescent="0.3">
      <c r="A19" t="s">
        <v>29</v>
      </c>
      <c r="B19" s="35">
        <v>3297121.1</v>
      </c>
    </row>
    <row r="20" spans="1:3" x14ac:dyDescent="0.3">
      <c r="A20" t="s">
        <v>56</v>
      </c>
      <c r="B20" s="34">
        <v>572.77</v>
      </c>
    </row>
    <row r="21" spans="1:3" x14ac:dyDescent="0.3">
      <c r="A21" t="s">
        <v>46</v>
      </c>
      <c r="B21" s="34">
        <v>-24779.88</v>
      </c>
      <c r="C21" t="s">
        <v>47</v>
      </c>
    </row>
    <row r="22" spans="1:3" x14ac:dyDescent="0.3">
      <c r="A22" t="s">
        <v>33</v>
      </c>
      <c r="B22" s="34">
        <v>78.5</v>
      </c>
    </row>
    <row r="23" spans="1:3" x14ac:dyDescent="0.3">
      <c r="A23" t="s">
        <v>39</v>
      </c>
      <c r="B23" s="34"/>
    </row>
    <row r="24" spans="1:3" x14ac:dyDescent="0.3">
      <c r="A24" t="s">
        <v>40</v>
      </c>
      <c r="B24" s="34">
        <v>-78.5</v>
      </c>
    </row>
    <row r="25" spans="1:3" x14ac:dyDescent="0.3">
      <c r="A25" t="s">
        <v>48</v>
      </c>
      <c r="B25" s="34">
        <v>60913.93</v>
      </c>
    </row>
    <row r="26" spans="1:3" x14ac:dyDescent="0.3">
      <c r="A26" t="s">
        <v>42</v>
      </c>
      <c r="B26" s="34">
        <v>-131867.26999999999</v>
      </c>
    </row>
    <row r="27" spans="1:3" x14ac:dyDescent="0.3">
      <c r="A27" t="s">
        <v>49</v>
      </c>
      <c r="B27" s="34">
        <f>-265676.16+42.45</f>
        <v>-265633.70999999996</v>
      </c>
    </row>
    <row r="28" spans="1:3" x14ac:dyDescent="0.3">
      <c r="A28" t="s">
        <v>50</v>
      </c>
      <c r="B28" s="34">
        <f>265676.16+385000+3.59</f>
        <v>650679.74999999988</v>
      </c>
    </row>
    <row r="29" spans="1:3" x14ac:dyDescent="0.3">
      <c r="A29" t="s">
        <v>57</v>
      </c>
      <c r="B29" s="34">
        <v>4015.15</v>
      </c>
    </row>
    <row r="30" spans="1:3" x14ac:dyDescent="0.3">
      <c r="A30" t="s">
        <v>51</v>
      </c>
      <c r="B30" s="40">
        <f>SUM(B19:B29)</f>
        <v>3591021.8400000003</v>
      </c>
    </row>
    <row r="31" spans="1:3" x14ac:dyDescent="0.3">
      <c r="A31" t="s">
        <v>52</v>
      </c>
      <c r="B31" s="35">
        <v>-3591021.84</v>
      </c>
    </row>
    <row r="32" spans="1:3" ht="15" thickBot="1" x14ac:dyDescent="0.35">
      <c r="A32" t="s">
        <v>45</v>
      </c>
      <c r="B32" s="42">
        <f>SUM(B30:B31)</f>
        <v>0</v>
      </c>
    </row>
    <row r="33" ht="15" thickTop="1" x14ac:dyDescent="0.3"/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transitionEvaluation="1" transitionEntry="1">
    <pageSetUpPr fitToPage="1"/>
  </sheetPr>
  <dimension ref="A1:H38"/>
  <sheetViews>
    <sheetView workbookViewId="0">
      <selection activeCell="D45" sqref="D45"/>
    </sheetView>
  </sheetViews>
  <sheetFormatPr defaultColWidth="9.109375" defaultRowHeight="13.2" x14ac:dyDescent="0.25"/>
  <cols>
    <col min="1" max="1" width="13.5546875" style="66" customWidth="1"/>
    <col min="2" max="2" width="14" style="66" bestFit="1" customWidth="1"/>
    <col min="3" max="3" width="2" style="66" customWidth="1"/>
    <col min="4" max="4" width="10.109375" style="66" customWidth="1"/>
    <col min="5" max="5" width="13.33203125" style="66" bestFit="1" customWidth="1"/>
    <col min="6" max="6" width="15.109375" style="66" customWidth="1"/>
    <col min="7" max="7" width="14.6640625" style="66" customWidth="1"/>
    <col min="8" max="8" width="14.5546875" style="66" bestFit="1" customWidth="1"/>
    <col min="9" max="9" width="18.44140625" style="66" customWidth="1"/>
    <col min="10" max="16384" width="9.109375" style="66"/>
  </cols>
  <sheetData>
    <row r="1" spans="1:8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8" x14ac:dyDescent="0.25">
      <c r="A2" s="97" t="s">
        <v>172</v>
      </c>
      <c r="B2" s="97"/>
      <c r="C2" s="97"/>
      <c r="D2" s="97"/>
      <c r="E2" s="97"/>
      <c r="F2" s="97"/>
      <c r="G2" s="97"/>
      <c r="H2" s="97"/>
    </row>
    <row r="3" spans="1:8" x14ac:dyDescent="0.25">
      <c r="A3" s="97" t="s">
        <v>173</v>
      </c>
      <c r="B3" s="97"/>
      <c r="C3" s="97"/>
      <c r="D3" s="97"/>
      <c r="E3" s="97"/>
      <c r="F3" s="97"/>
      <c r="G3" s="97"/>
      <c r="H3" s="97"/>
    </row>
    <row r="4" spans="1:8" x14ac:dyDescent="0.25">
      <c r="A4" s="97" t="str">
        <f>'[2]CIB #10200-TOWNE'!A4:H4</f>
        <v>JULY 31, 2014</v>
      </c>
      <c r="B4" s="97"/>
      <c r="C4" s="97"/>
      <c r="D4" s="97"/>
      <c r="E4" s="97"/>
      <c r="F4" s="97"/>
      <c r="G4" s="97"/>
      <c r="H4" s="97"/>
    </row>
    <row r="5" spans="1:8" x14ac:dyDescent="0.25">
      <c r="A5" s="67"/>
      <c r="B5" s="67"/>
      <c r="C5" s="67"/>
      <c r="D5" s="67"/>
      <c r="E5" s="67"/>
      <c r="F5" s="67"/>
      <c r="G5" s="67"/>
      <c r="H5" s="67"/>
    </row>
    <row r="6" spans="1:8" x14ac:dyDescent="0.25">
      <c r="A6" s="67"/>
      <c r="B6" s="67"/>
      <c r="C6" s="67"/>
      <c r="D6" s="67"/>
      <c r="E6" s="67"/>
      <c r="F6" s="67"/>
      <c r="G6" s="67"/>
      <c r="H6" s="67"/>
    </row>
    <row r="7" spans="1:8" x14ac:dyDescent="0.25">
      <c r="A7" s="67"/>
      <c r="B7" s="67"/>
      <c r="C7" s="67"/>
      <c r="D7" s="67"/>
      <c r="E7" s="67"/>
      <c r="F7" s="67"/>
      <c r="G7" s="67"/>
      <c r="H7" s="67"/>
    </row>
    <row r="8" spans="1:8" x14ac:dyDescent="0.25">
      <c r="A8" s="68" t="s">
        <v>174</v>
      </c>
      <c r="B8" s="67"/>
      <c r="C8" s="67"/>
      <c r="D8" s="67"/>
      <c r="E8" s="67"/>
      <c r="F8" s="67"/>
      <c r="G8" s="69">
        <v>1579348.14</v>
      </c>
      <c r="H8" s="67"/>
    </row>
    <row r="9" spans="1:8" x14ac:dyDescent="0.25">
      <c r="A9" s="67"/>
      <c r="B9" s="67"/>
      <c r="C9" s="67"/>
      <c r="D9" s="67"/>
      <c r="E9" s="67"/>
      <c r="F9" s="67"/>
      <c r="G9" s="67"/>
      <c r="H9" s="67"/>
    </row>
    <row r="10" spans="1:8" x14ac:dyDescent="0.25">
      <c r="A10" s="68" t="s">
        <v>175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/>
      <c r="B11" s="69"/>
      <c r="C11" s="67"/>
      <c r="D11" s="67"/>
      <c r="E11" s="67"/>
      <c r="F11" s="67"/>
      <c r="G11" s="71"/>
      <c r="H11" s="67"/>
    </row>
    <row r="12" spans="1:8" x14ac:dyDescent="0.25">
      <c r="A12" s="67"/>
      <c r="B12" s="67"/>
      <c r="C12" s="67"/>
      <c r="D12" s="67"/>
      <c r="E12" s="67"/>
      <c r="F12" s="67"/>
      <c r="G12" s="67"/>
      <c r="H12" s="67"/>
    </row>
    <row r="13" spans="1:8" x14ac:dyDescent="0.25">
      <c r="A13" s="67"/>
      <c r="B13" s="67"/>
      <c r="C13" s="67"/>
      <c r="D13" s="67"/>
      <c r="E13" s="67"/>
      <c r="F13" s="67"/>
      <c r="G13" s="67"/>
      <c r="H13" s="67"/>
    </row>
    <row r="14" spans="1:8" x14ac:dyDescent="0.25">
      <c r="A14" s="68" t="s">
        <v>176</v>
      </c>
      <c r="B14" s="67"/>
      <c r="C14" s="67"/>
      <c r="D14" s="67"/>
      <c r="E14" s="67"/>
      <c r="F14" s="67"/>
      <c r="G14" s="67"/>
      <c r="H14" s="67"/>
    </row>
    <row r="15" spans="1:8" x14ac:dyDescent="0.25">
      <c r="A15" s="70"/>
      <c r="B15" s="72"/>
      <c r="C15" s="67"/>
      <c r="D15" s="67"/>
      <c r="E15" s="69"/>
      <c r="F15" s="67"/>
      <c r="G15" s="67"/>
      <c r="H15" s="67"/>
    </row>
    <row r="16" spans="1:8" x14ac:dyDescent="0.25">
      <c r="A16" s="67"/>
      <c r="B16" s="72"/>
      <c r="C16" s="67"/>
      <c r="D16" s="67"/>
      <c r="E16" s="69"/>
      <c r="F16" s="67"/>
      <c r="G16" s="67"/>
      <c r="H16" s="67"/>
    </row>
    <row r="17" spans="1:8" x14ac:dyDescent="0.25">
      <c r="A17" s="73"/>
      <c r="B17" s="72"/>
      <c r="C17" s="73"/>
      <c r="D17" s="73"/>
      <c r="E17" s="69"/>
      <c r="F17" s="73"/>
      <c r="G17" s="73"/>
      <c r="H17" s="73"/>
    </row>
    <row r="18" spans="1:8" x14ac:dyDescent="0.25">
      <c r="A18" s="91"/>
      <c r="B18" s="72"/>
      <c r="C18" s="73"/>
      <c r="D18" s="73"/>
      <c r="E18" s="69"/>
      <c r="F18" s="73"/>
      <c r="G18" s="74"/>
      <c r="H18" s="73"/>
    </row>
    <row r="19" spans="1:8" x14ac:dyDescent="0.25">
      <c r="A19" s="73"/>
      <c r="B19" s="72"/>
      <c r="C19" s="73"/>
      <c r="D19" s="73"/>
      <c r="E19" s="73"/>
      <c r="F19" s="73"/>
      <c r="G19" s="73"/>
      <c r="H19" s="73"/>
    </row>
    <row r="20" spans="1:8" ht="13.8" thickBot="1" x14ac:dyDescent="0.3">
      <c r="A20" s="75" t="s">
        <v>177</v>
      </c>
      <c r="B20" s="72"/>
      <c r="C20" s="73"/>
      <c r="D20" s="73"/>
      <c r="E20" s="73"/>
      <c r="F20" s="73"/>
      <c r="G20" s="76">
        <f>SUM(G8:G19)</f>
        <v>1579348.14</v>
      </c>
      <c r="H20" s="73"/>
    </row>
    <row r="21" spans="1:8" ht="13.8" thickTop="1" x14ac:dyDescent="0.25">
      <c r="A21" s="73"/>
      <c r="B21" s="69"/>
      <c r="C21" s="73"/>
      <c r="D21" s="73"/>
      <c r="E21" s="73"/>
      <c r="F21" s="73"/>
      <c r="G21" s="73"/>
      <c r="H21" s="73"/>
    </row>
    <row r="22" spans="1:8" x14ac:dyDescent="0.25">
      <c r="A22" s="75" t="s">
        <v>178</v>
      </c>
      <c r="B22" s="69"/>
      <c r="C22" s="73"/>
      <c r="D22" s="73"/>
      <c r="E22" s="73"/>
      <c r="F22" s="73"/>
      <c r="G22" s="69">
        <v>1579348.14</v>
      </c>
      <c r="H22" s="73"/>
    </row>
    <row r="23" spans="1:8" x14ac:dyDescent="0.25">
      <c r="A23" s="75" t="s">
        <v>179</v>
      </c>
      <c r="B23" s="73"/>
      <c r="C23" s="73"/>
      <c r="D23" s="73"/>
      <c r="E23" s="73"/>
      <c r="F23" s="73"/>
      <c r="G23" s="69"/>
      <c r="H23" s="73"/>
    </row>
    <row r="24" spans="1:8" x14ac:dyDescent="0.25">
      <c r="A24" s="73"/>
      <c r="B24" s="73"/>
      <c r="C24" s="73"/>
      <c r="D24" s="73"/>
      <c r="E24" s="73"/>
      <c r="F24" s="73"/>
      <c r="G24" s="73"/>
      <c r="H24" s="73"/>
    </row>
    <row r="25" spans="1:8" x14ac:dyDescent="0.25">
      <c r="A25" s="73"/>
      <c r="B25" s="73"/>
      <c r="C25" s="73"/>
      <c r="D25" s="73"/>
      <c r="E25" s="73"/>
      <c r="F25" s="73"/>
      <c r="G25" s="73"/>
      <c r="H25" s="73"/>
    </row>
    <row r="26" spans="1:8" ht="13.8" thickBot="1" x14ac:dyDescent="0.3">
      <c r="A26" s="75" t="s">
        <v>180</v>
      </c>
      <c r="B26" s="73"/>
      <c r="C26" s="73"/>
      <c r="D26" s="73"/>
      <c r="E26" s="73"/>
      <c r="F26" s="73"/>
      <c r="G26" s="77">
        <f>SUM(G22:G25)</f>
        <v>1579348.14</v>
      </c>
      <c r="H26" s="73"/>
    </row>
    <row r="27" spans="1:8" ht="15" thickTop="1" x14ac:dyDescent="0.3">
      <c r="A27" s="73"/>
      <c r="B27" s="73"/>
      <c r="C27" s="73"/>
      <c r="D27" s="73"/>
      <c r="E27" s="73"/>
      <c r="F27" s="73"/>
      <c r="G27" s="78"/>
      <c r="H27" s="73"/>
    </row>
    <row r="28" spans="1:8" x14ac:dyDescent="0.25">
      <c r="A28" s="75" t="s">
        <v>181</v>
      </c>
      <c r="B28" s="73"/>
      <c r="C28" s="73"/>
      <c r="D28" s="73"/>
      <c r="E28" s="73"/>
      <c r="F28" s="73"/>
      <c r="G28" s="79">
        <f>G20-G26</f>
        <v>0</v>
      </c>
      <c r="H28" s="73"/>
    </row>
    <row r="29" spans="1:8" x14ac:dyDescent="0.25">
      <c r="A29" s="73"/>
      <c r="B29" s="73"/>
      <c r="C29" s="73"/>
      <c r="D29" s="73"/>
      <c r="E29" s="73"/>
      <c r="F29" s="73"/>
      <c r="G29" s="73"/>
      <c r="H29" s="73"/>
    </row>
    <row r="30" spans="1:8" ht="11.25" customHeight="1" x14ac:dyDescent="0.25">
      <c r="A30" s="73"/>
      <c r="B30" s="73"/>
      <c r="C30" s="73"/>
      <c r="D30" s="73"/>
      <c r="E30" s="73"/>
      <c r="F30" s="73"/>
      <c r="G30" s="73"/>
      <c r="H30" s="73"/>
    </row>
    <row r="31" spans="1:8" x14ac:dyDescent="0.25">
      <c r="A31" s="80" t="s">
        <v>182</v>
      </c>
      <c r="B31" s="80"/>
      <c r="C31" s="80"/>
      <c r="D31" s="92"/>
      <c r="E31" s="80"/>
      <c r="F31" s="80"/>
      <c r="G31" s="80"/>
      <c r="H31" s="80"/>
    </row>
    <row r="32" spans="1:8" ht="14.4" x14ac:dyDescent="0.3">
      <c r="A32" s="80" t="s">
        <v>183</v>
      </c>
      <c r="B32" s="94">
        <f>1014869.83+290.6</f>
        <v>1015160.4299999999</v>
      </c>
      <c r="C32" s="80"/>
      <c r="D32" s="82">
        <f>B32/B34</f>
        <v>0.64277178937887625</v>
      </c>
      <c r="E32" s="69">
        <f>D32*0</f>
        <v>0</v>
      </c>
      <c r="F32" s="80"/>
      <c r="G32" s="80"/>
      <c r="H32" s="80"/>
    </row>
    <row r="33" spans="1:8" ht="14.4" x14ac:dyDescent="0.3">
      <c r="A33" s="80" t="s">
        <v>145</v>
      </c>
      <c r="B33" s="94">
        <f>564104.69+161.52-78.5</f>
        <v>564187.71</v>
      </c>
      <c r="C33" s="80" t="s">
        <v>184</v>
      </c>
      <c r="D33" s="82">
        <f>B33/B34</f>
        <v>0.3572282106211237</v>
      </c>
      <c r="E33" s="69">
        <f>-E32+0</f>
        <v>0</v>
      </c>
      <c r="F33" s="83" t="s">
        <v>198</v>
      </c>
      <c r="G33" s="84">
        <f>E33*1</f>
        <v>0</v>
      </c>
      <c r="H33" s="80"/>
    </row>
    <row r="34" spans="1:8" ht="15" thickBot="1" x14ac:dyDescent="0.35">
      <c r="A34" s="80"/>
      <c r="B34" s="93">
        <f>SUM(B32:B33)</f>
        <v>1579348.14</v>
      </c>
      <c r="C34" s="80"/>
      <c r="D34" s="86">
        <f>SUM(D32:D33)</f>
        <v>1</v>
      </c>
      <c r="E34" s="87"/>
      <c r="F34" s="83" t="s">
        <v>199</v>
      </c>
      <c r="G34" s="84">
        <f>E33*0</f>
        <v>0</v>
      </c>
      <c r="H34" s="80"/>
    </row>
    <row r="35" spans="1:8" ht="13.8" thickTop="1" x14ac:dyDescent="0.25">
      <c r="A35" s="80"/>
      <c r="B35" s="80"/>
      <c r="C35" s="80"/>
      <c r="D35" s="80"/>
      <c r="E35" s="80"/>
      <c r="F35" s="88"/>
      <c r="G35" s="80"/>
      <c r="H35" s="80"/>
    </row>
    <row r="36" spans="1:8" x14ac:dyDescent="0.25">
      <c r="A36" s="83" t="s">
        <v>187</v>
      </c>
      <c r="B36" s="80"/>
      <c r="C36" s="80"/>
      <c r="D36" s="80"/>
      <c r="E36" s="80"/>
      <c r="F36" s="80"/>
      <c r="G36" s="80"/>
      <c r="H36" s="80"/>
    </row>
    <row r="38" spans="1:8" ht="14.4" x14ac:dyDescent="0.3">
      <c r="A38" s="89">
        <v>0</v>
      </c>
      <c r="B38" s="90">
        <f>A38/B33</f>
        <v>0</v>
      </c>
    </row>
  </sheetData>
  <mergeCells count="4">
    <mergeCell ref="A1:H1"/>
    <mergeCell ref="A2:H2"/>
    <mergeCell ref="A3:H3"/>
    <mergeCell ref="A4:H4"/>
  </mergeCells>
  <pageMargins left="0.54" right="0.45" top="0.52" bottom="0.48" header="0.37" footer="0.22"/>
  <pageSetup fitToHeight="2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J43"/>
  <sheetViews>
    <sheetView zoomScaleNormal="100" workbookViewId="0">
      <selection activeCell="B19" sqref="B19"/>
    </sheetView>
  </sheetViews>
  <sheetFormatPr defaultColWidth="9.109375" defaultRowHeight="15" x14ac:dyDescent="0.25"/>
  <cols>
    <col min="1" max="1" width="49.44140625" style="2" bestFit="1" customWidth="1"/>
    <col min="2" max="4" width="19.109375" style="2" customWidth="1"/>
    <col min="5" max="5" width="5.88671875" style="2" customWidth="1"/>
    <col min="6" max="7" width="9.109375" style="2"/>
    <col min="8" max="8" width="15.6640625" style="2" customWidth="1"/>
    <col min="9" max="9" width="3.5546875" style="2" customWidth="1"/>
    <col min="10" max="10" width="15.109375" style="2" bestFit="1" customWidth="1"/>
    <col min="11" max="16384" width="9.109375" style="2"/>
  </cols>
  <sheetData>
    <row r="1" spans="1:10" ht="15.6" x14ac:dyDescent="0.3">
      <c r="A1" s="96" t="s">
        <v>0</v>
      </c>
      <c r="B1" s="96"/>
      <c r="C1" s="96"/>
      <c r="D1" s="96"/>
      <c r="E1" s="1"/>
      <c r="F1" s="1"/>
    </row>
    <row r="2" spans="1:10" ht="15.6" x14ac:dyDescent="0.3">
      <c r="A2" s="96" t="s">
        <v>1</v>
      </c>
      <c r="B2" s="96"/>
      <c r="C2" s="96"/>
      <c r="D2" s="96"/>
      <c r="E2" s="1"/>
      <c r="F2" s="1"/>
    </row>
    <row r="3" spans="1:10" ht="15.6" x14ac:dyDescent="0.3">
      <c r="A3" s="96" t="s">
        <v>2</v>
      </c>
      <c r="B3" s="96"/>
      <c r="C3" s="96"/>
      <c r="D3" s="96"/>
      <c r="E3" s="1"/>
      <c r="F3" s="1"/>
    </row>
    <row r="4" spans="1:10" ht="15.6" x14ac:dyDescent="0.3">
      <c r="A4" s="3"/>
      <c r="B4" s="3"/>
      <c r="C4" s="3"/>
      <c r="D4" s="3"/>
      <c r="E4" s="1"/>
      <c r="F4" s="1"/>
    </row>
    <row r="5" spans="1:10" ht="15.6" x14ac:dyDescent="0.3">
      <c r="A5" s="3"/>
      <c r="B5" s="3"/>
      <c r="C5" s="3"/>
      <c r="D5" s="3"/>
      <c r="E5" s="1"/>
      <c r="F5" s="1"/>
    </row>
    <row r="6" spans="1:10" x14ac:dyDescent="0.25">
      <c r="A6" s="1"/>
      <c r="B6" s="1"/>
      <c r="C6" s="1"/>
      <c r="D6" s="4"/>
      <c r="E6" s="1"/>
      <c r="F6" s="1"/>
    </row>
    <row r="7" spans="1:10" x14ac:dyDescent="0.25">
      <c r="A7" s="1"/>
      <c r="B7" s="1"/>
      <c r="C7" s="1"/>
      <c r="D7" s="1"/>
      <c r="E7" s="1"/>
      <c r="F7" s="1"/>
      <c r="G7" s="5"/>
      <c r="H7" s="5"/>
      <c r="I7" s="5"/>
      <c r="J7" s="5"/>
    </row>
    <row r="8" spans="1:10" ht="15.6" x14ac:dyDescent="0.3">
      <c r="A8" s="6"/>
      <c r="B8" s="7"/>
      <c r="C8" s="7"/>
      <c r="D8" s="8"/>
      <c r="E8" s="1"/>
      <c r="F8" s="1"/>
      <c r="G8" s="5"/>
      <c r="H8" s="9"/>
      <c r="I8" s="5"/>
      <c r="J8" s="9"/>
    </row>
    <row r="9" spans="1:10" ht="15.6" x14ac:dyDescent="0.3">
      <c r="A9" s="6" t="s">
        <v>3</v>
      </c>
      <c r="B9" s="7">
        <v>470220.1</v>
      </c>
      <c r="C9" s="7"/>
      <c r="D9" s="8"/>
      <c r="E9" s="1"/>
      <c r="F9" s="1"/>
      <c r="G9" s="5"/>
      <c r="H9" s="9"/>
      <c r="I9" s="5"/>
      <c r="J9" s="9"/>
    </row>
    <row r="10" spans="1:10" ht="15.6" x14ac:dyDescent="0.3">
      <c r="A10" s="6" t="s">
        <v>4</v>
      </c>
      <c r="B10" s="10">
        <f>637849.98-384731.45+666666.67-1348348.85+666666.66+200000-35939.45-256591.11+666666.67-17843.34-18634.62-16009.7-79615.61+251310.43-720000</f>
        <v>211446.28000000003</v>
      </c>
      <c r="C10" s="10"/>
      <c r="D10" s="8"/>
      <c r="E10" s="1"/>
      <c r="F10" s="1"/>
      <c r="G10" s="5"/>
      <c r="H10" s="9"/>
      <c r="I10" s="5"/>
      <c r="J10" s="9"/>
    </row>
    <row r="11" spans="1:10" ht="15.6" x14ac:dyDescent="0.3">
      <c r="A11" s="6" t="s">
        <v>5</v>
      </c>
      <c r="B11" s="10">
        <v>78.5</v>
      </c>
      <c r="C11" s="11"/>
      <c r="D11" s="8"/>
      <c r="E11" s="1"/>
      <c r="F11" s="1"/>
      <c r="H11" s="12"/>
    </row>
    <row r="12" spans="1:10" ht="15.6" x14ac:dyDescent="0.3">
      <c r="A12" s="6" t="s">
        <v>6</v>
      </c>
      <c r="B12" s="10">
        <v>2000312.35</v>
      </c>
      <c r="C12" s="11"/>
      <c r="D12" s="8"/>
      <c r="E12" s="1"/>
      <c r="F12" s="1"/>
      <c r="H12" s="12"/>
    </row>
    <row r="13" spans="1:10" ht="15.6" x14ac:dyDescent="0.3">
      <c r="A13" s="6" t="s">
        <v>7</v>
      </c>
      <c r="B13" s="10">
        <v>565026.16</v>
      </c>
      <c r="C13" s="11"/>
      <c r="D13" s="8"/>
      <c r="E13" s="1"/>
      <c r="F13" s="1"/>
      <c r="H13" s="12"/>
    </row>
    <row r="14" spans="1:10" ht="15.6" x14ac:dyDescent="0.3">
      <c r="A14" s="6" t="s">
        <v>8</v>
      </c>
      <c r="B14" s="13">
        <v>50037.71</v>
      </c>
      <c r="C14" s="14"/>
      <c r="D14" s="8"/>
      <c r="E14" s="1"/>
      <c r="F14" s="1"/>
      <c r="H14" s="12"/>
    </row>
    <row r="15" spans="1:10" ht="15.6" x14ac:dyDescent="0.3">
      <c r="A15" s="15" t="s">
        <v>9</v>
      </c>
      <c r="B15" s="7"/>
      <c r="C15" s="7">
        <f>SUM(B8:B14)</f>
        <v>3297121.1</v>
      </c>
      <c r="D15" s="8"/>
      <c r="E15" s="1"/>
      <c r="F15" s="1"/>
      <c r="G15" s="5"/>
      <c r="H15" s="16"/>
      <c r="I15" s="17"/>
      <c r="J15" s="16"/>
    </row>
    <row r="16" spans="1:10" x14ac:dyDescent="0.25">
      <c r="A16" s="1"/>
      <c r="B16" s="7"/>
      <c r="C16" s="7"/>
      <c r="D16" s="8"/>
      <c r="E16" s="1"/>
      <c r="F16" s="1"/>
    </row>
    <row r="17" spans="1:8" ht="15.6" x14ac:dyDescent="0.3">
      <c r="A17" s="6" t="s">
        <v>10</v>
      </c>
      <c r="B17" s="18">
        <v>677623.4</v>
      </c>
      <c r="C17" s="7"/>
      <c r="D17" s="8"/>
      <c r="E17" s="1"/>
      <c r="F17" s="1"/>
      <c r="H17" s="12"/>
    </row>
    <row r="18" spans="1:8" ht="15.6" x14ac:dyDescent="0.3">
      <c r="A18" s="6" t="s">
        <v>11</v>
      </c>
      <c r="B18" s="7">
        <f>-B10+1503270.42</f>
        <v>1291824.1399999999</v>
      </c>
      <c r="C18" s="10"/>
      <c r="D18" s="8"/>
      <c r="E18" s="1"/>
      <c r="F18" s="1"/>
      <c r="H18" s="12"/>
    </row>
    <row r="19" spans="1:8" ht="15.6" x14ac:dyDescent="0.3">
      <c r="A19" s="6" t="s">
        <v>12</v>
      </c>
      <c r="B19" s="7">
        <f>-B11+1578974.52</f>
        <v>1578896.02</v>
      </c>
      <c r="C19" s="11"/>
      <c r="D19" s="8"/>
      <c r="E19" s="1"/>
      <c r="F19" s="1"/>
      <c r="H19" s="12"/>
    </row>
    <row r="20" spans="1:8" ht="15.6" x14ac:dyDescent="0.3">
      <c r="A20" s="6" t="s">
        <v>13</v>
      </c>
      <c r="B20" s="19">
        <f>2800+12493.46+4015.15+1665</f>
        <v>20973.61</v>
      </c>
      <c r="C20" s="13"/>
      <c r="D20" s="8"/>
      <c r="E20" s="1"/>
      <c r="F20" s="1"/>
      <c r="H20" s="12"/>
    </row>
    <row r="21" spans="1:8" ht="15.6" x14ac:dyDescent="0.3">
      <c r="A21" s="6" t="s">
        <v>14</v>
      </c>
      <c r="B21" s="10"/>
      <c r="C21" s="10">
        <f>SUM(B17:B20)</f>
        <v>3569317.17</v>
      </c>
      <c r="D21" s="8"/>
      <c r="E21" s="1"/>
      <c r="F21" s="1"/>
      <c r="H21" s="12"/>
    </row>
    <row r="22" spans="1:8" ht="6" customHeight="1" x14ac:dyDescent="0.3">
      <c r="A22" s="6"/>
      <c r="B22" s="10"/>
      <c r="C22" s="10"/>
      <c r="D22" s="8"/>
      <c r="E22" s="1"/>
      <c r="F22" s="1"/>
      <c r="H22" s="12"/>
    </row>
    <row r="23" spans="1:8" ht="15.6" x14ac:dyDescent="0.3">
      <c r="A23" s="6" t="s">
        <v>15</v>
      </c>
      <c r="B23" s="7"/>
      <c r="C23" s="20">
        <f>C15+C21</f>
        <v>6866438.2699999996</v>
      </c>
      <c r="D23" s="8"/>
      <c r="E23" s="1"/>
      <c r="F23" s="1"/>
      <c r="H23" s="12"/>
    </row>
    <row r="24" spans="1:8" ht="6" customHeight="1" x14ac:dyDescent="0.25">
      <c r="A24" s="1"/>
      <c r="B24" s="7"/>
      <c r="C24" s="7"/>
      <c r="D24" s="8"/>
      <c r="E24" s="1"/>
      <c r="F24" s="1"/>
    </row>
    <row r="25" spans="1:8" ht="15.6" x14ac:dyDescent="0.3">
      <c r="A25" s="6" t="s">
        <v>16</v>
      </c>
      <c r="B25" s="7"/>
      <c r="C25" s="10">
        <v>0</v>
      </c>
      <c r="D25" s="21"/>
      <c r="E25" s="1"/>
      <c r="F25" s="1"/>
      <c r="H25" s="22"/>
    </row>
    <row r="26" spans="1:8" ht="6" customHeight="1" x14ac:dyDescent="0.3">
      <c r="A26" s="6"/>
      <c r="B26" s="10"/>
      <c r="C26" s="10"/>
      <c r="D26" s="21"/>
      <c r="E26" s="1"/>
      <c r="F26" s="1"/>
      <c r="H26" s="22"/>
    </row>
    <row r="27" spans="1:8" ht="16.2" thickBot="1" x14ac:dyDescent="0.35">
      <c r="A27" s="6" t="s">
        <v>17</v>
      </c>
      <c r="B27" s="7"/>
      <c r="C27" s="23">
        <f>C15+B29</f>
        <v>6866438.2699999996</v>
      </c>
      <c r="E27" s="1"/>
      <c r="F27" s="1"/>
      <c r="H27" s="22"/>
    </row>
    <row r="28" spans="1:8" ht="15.6" thickTop="1" x14ac:dyDescent="0.25">
      <c r="A28" s="1"/>
      <c r="B28" s="1"/>
      <c r="C28" s="1"/>
      <c r="D28" s="1"/>
      <c r="E28" s="1"/>
      <c r="F28" s="1"/>
    </row>
    <row r="29" spans="1:8" ht="16.2" thickBot="1" x14ac:dyDescent="0.35">
      <c r="A29" s="24" t="s">
        <v>18</v>
      </c>
      <c r="B29" s="25">
        <f>C21+C25</f>
        <v>3569317.17</v>
      </c>
      <c r="C29" s="26"/>
      <c r="D29" s="27"/>
      <c r="E29" s="26"/>
      <c r="F29" s="26"/>
    </row>
    <row r="30" spans="1:8" ht="16.2" thickTop="1" x14ac:dyDescent="0.3">
      <c r="A30" s="24"/>
      <c r="B30" s="10"/>
      <c r="C30" s="26"/>
      <c r="D30" s="27"/>
      <c r="E30" s="26"/>
      <c r="F30" s="26"/>
    </row>
    <row r="31" spans="1:8" ht="5.25" customHeight="1" x14ac:dyDescent="0.3">
      <c r="A31" s="24"/>
      <c r="B31" s="10"/>
      <c r="C31" s="26"/>
      <c r="D31" s="27"/>
      <c r="E31" s="26"/>
      <c r="F31" s="26"/>
    </row>
    <row r="32" spans="1:8" ht="15.6" x14ac:dyDescent="0.3">
      <c r="A32" s="28" t="s">
        <v>19</v>
      </c>
      <c r="B32" s="1"/>
      <c r="C32" s="1"/>
      <c r="D32" s="1"/>
      <c r="E32" s="1"/>
      <c r="F32" s="1"/>
    </row>
    <row r="33" spans="1:6" ht="15.6" x14ac:dyDescent="0.3">
      <c r="A33" s="29" t="s">
        <v>20</v>
      </c>
      <c r="B33" s="1"/>
      <c r="C33" s="1"/>
      <c r="D33" s="1"/>
      <c r="E33" s="1"/>
      <c r="F33" s="1"/>
    </row>
    <row r="34" spans="1:6" ht="15.6" x14ac:dyDescent="0.3">
      <c r="A34" s="6" t="s">
        <v>21</v>
      </c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ht="15.6" x14ac:dyDescent="0.3">
      <c r="A36" s="6" t="s">
        <v>22</v>
      </c>
      <c r="B36" s="1"/>
      <c r="C36" s="1"/>
      <c r="D36" s="1"/>
      <c r="E36" s="1"/>
      <c r="F36" s="1"/>
    </row>
    <row r="37" spans="1:6" ht="15.6" x14ac:dyDescent="0.3">
      <c r="A37" s="6" t="s">
        <v>23</v>
      </c>
      <c r="B37" s="7">
        <f>66645.75+8981.51+1496.92+1496.92</f>
        <v>78621.099999999991</v>
      </c>
      <c r="C37" s="10"/>
      <c r="D37" s="1"/>
      <c r="E37" s="1"/>
      <c r="F37" s="1"/>
    </row>
    <row r="38" spans="1:6" ht="15.6" x14ac:dyDescent="0.3">
      <c r="A38" s="6" t="s">
        <v>24</v>
      </c>
      <c r="B38" s="7">
        <v>2371.2199999999998</v>
      </c>
      <c r="C38" s="10"/>
      <c r="D38" s="1"/>
      <c r="E38" s="1"/>
      <c r="F38" s="1"/>
    </row>
    <row r="39" spans="1:6" ht="15.6" x14ac:dyDescent="0.3">
      <c r="A39" s="6" t="s">
        <v>25</v>
      </c>
      <c r="B39" s="7">
        <f>171037.91+35933.44</f>
        <v>206971.35</v>
      </c>
      <c r="C39" s="10"/>
      <c r="D39" s="1"/>
      <c r="E39" s="1"/>
      <c r="F39" s="1"/>
    </row>
    <row r="40" spans="1:6" ht="15.6" x14ac:dyDescent="0.3">
      <c r="A40" s="6" t="s">
        <v>26</v>
      </c>
      <c r="B40" s="7">
        <f>58457.82</f>
        <v>58457.82</v>
      </c>
      <c r="C40" s="10"/>
      <c r="D40" s="1"/>
      <c r="E40" s="1"/>
      <c r="F40" s="1"/>
    </row>
    <row r="41" spans="1:6" ht="15.6" hidden="1" x14ac:dyDescent="0.3">
      <c r="A41" s="6" t="s">
        <v>27</v>
      </c>
      <c r="B41" s="7"/>
      <c r="C41" s="10"/>
      <c r="D41" s="1"/>
      <c r="E41" s="1"/>
      <c r="F41" s="1"/>
    </row>
    <row r="42" spans="1:6" ht="15.6" thickBot="1" x14ac:dyDescent="0.3">
      <c r="A42" s="1"/>
      <c r="B42" s="30">
        <f>SUM(B37:B41)</f>
        <v>346421.49</v>
      </c>
      <c r="C42" s="31"/>
      <c r="D42" s="1"/>
      <c r="E42" s="1"/>
      <c r="F42" s="1"/>
    </row>
    <row r="43" spans="1:6" ht="15.6" thickTop="1" x14ac:dyDescent="0.25">
      <c r="A43" s="1"/>
      <c r="B43" s="1"/>
      <c r="C43" s="32"/>
      <c r="D43" s="1"/>
      <c r="E43" s="1"/>
      <c r="F43" s="1"/>
    </row>
  </sheetData>
  <mergeCells count="3">
    <mergeCell ref="A1:D1"/>
    <mergeCell ref="A2:D2"/>
    <mergeCell ref="A3:D3"/>
  </mergeCells>
  <pageMargins left="0.45" right="0.2" top="0.75" bottom="0.75" header="0.3" footer="0.3"/>
  <pageSetup scale="82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D31"/>
  <sheetViews>
    <sheetView workbookViewId="0">
      <selection activeCell="B20" sqref="B20"/>
    </sheetView>
  </sheetViews>
  <sheetFormatPr defaultRowHeight="14.4" x14ac:dyDescent="0.3"/>
  <cols>
    <col min="1" max="1" width="24.33203125" customWidth="1"/>
    <col min="2" max="2" width="14.6640625" bestFit="1" customWidth="1"/>
    <col min="6" max="6" width="11.88671875" customWidth="1"/>
  </cols>
  <sheetData>
    <row r="1" spans="1:4" x14ac:dyDescent="0.3">
      <c r="A1" s="33" t="s">
        <v>28</v>
      </c>
    </row>
    <row r="2" spans="1:4" x14ac:dyDescent="0.3">
      <c r="A2" t="s">
        <v>29</v>
      </c>
      <c r="B2" s="34">
        <v>4103806.62</v>
      </c>
    </row>
    <row r="3" spans="1:4" x14ac:dyDescent="0.3">
      <c r="A3" t="s">
        <v>30</v>
      </c>
      <c r="B3" s="35">
        <v>0</v>
      </c>
    </row>
    <row r="4" spans="1:4" x14ac:dyDescent="0.3">
      <c r="A4" t="s">
        <v>31</v>
      </c>
      <c r="B4" s="34">
        <v>719212.69</v>
      </c>
    </row>
    <row r="5" spans="1:4" x14ac:dyDescent="0.3">
      <c r="A5" t="s">
        <v>32</v>
      </c>
      <c r="B5" s="34">
        <v>-651728.46</v>
      </c>
      <c r="D5" s="35"/>
    </row>
    <row r="6" spans="1:4" x14ac:dyDescent="0.3">
      <c r="A6" t="s">
        <v>33</v>
      </c>
      <c r="B6" s="34">
        <v>455864.36</v>
      </c>
      <c r="C6" t="s">
        <v>34</v>
      </c>
    </row>
    <row r="7" spans="1:4" x14ac:dyDescent="0.3">
      <c r="A7" t="s">
        <v>35</v>
      </c>
      <c r="B7" s="34">
        <f>-387754.52+-B20</f>
        <v>-308138.91000000003</v>
      </c>
    </row>
    <row r="8" spans="1:4" x14ac:dyDescent="0.3">
      <c r="A8" t="s">
        <v>36</v>
      </c>
      <c r="B8" s="36">
        <v>218603.93</v>
      </c>
      <c r="C8" t="s">
        <v>37</v>
      </c>
    </row>
    <row r="9" spans="1:4" x14ac:dyDescent="0.3">
      <c r="A9" t="s">
        <v>38</v>
      </c>
      <c r="B9" s="34">
        <v>-217908.27</v>
      </c>
    </row>
    <row r="10" spans="1:4" x14ac:dyDescent="0.3">
      <c r="A10" t="s">
        <v>39</v>
      </c>
      <c r="B10" s="34">
        <v>764.57</v>
      </c>
    </row>
    <row r="11" spans="1:4" x14ac:dyDescent="0.3">
      <c r="A11" t="s">
        <v>40</v>
      </c>
      <c r="B11" s="34">
        <v>-1280000</v>
      </c>
      <c r="C11" t="s">
        <v>41</v>
      </c>
    </row>
    <row r="12" spans="1:4" x14ac:dyDescent="0.3">
      <c r="A12" t="s">
        <v>16</v>
      </c>
      <c r="B12" s="34">
        <v>0</v>
      </c>
    </row>
    <row r="13" spans="1:4" x14ac:dyDescent="0.3">
      <c r="A13" t="s">
        <v>42</v>
      </c>
      <c r="B13" s="34">
        <f>-B25</f>
        <v>528840.63</v>
      </c>
    </row>
    <row r="14" spans="1:4" x14ac:dyDescent="0.3">
      <c r="A14" t="s">
        <v>43</v>
      </c>
      <c r="B14" s="37">
        <f>SUM(B2:B13)</f>
        <v>3569317.1600000011</v>
      </c>
    </row>
    <row r="15" spans="1:4" x14ac:dyDescent="0.3">
      <c r="A15" t="s">
        <v>44</v>
      </c>
      <c r="B15" s="34">
        <v>-3569317.17</v>
      </c>
    </row>
    <row r="16" spans="1:4" ht="15" thickBot="1" x14ac:dyDescent="0.35">
      <c r="A16" t="s">
        <v>45</v>
      </c>
      <c r="B16" s="38">
        <f>SUM(B14:B15)</f>
        <v>-9.9999988451600075E-3</v>
      </c>
    </row>
    <row r="17" spans="1:3" ht="15" thickTop="1" x14ac:dyDescent="0.3">
      <c r="B17" s="39"/>
    </row>
    <row r="18" spans="1:3" x14ac:dyDescent="0.3">
      <c r="A18" t="s">
        <v>29</v>
      </c>
      <c r="B18" s="35">
        <v>1869063.78</v>
      </c>
    </row>
    <row r="19" spans="1:3" x14ac:dyDescent="0.3">
      <c r="A19" t="s">
        <v>30</v>
      </c>
      <c r="B19" s="34"/>
    </row>
    <row r="20" spans="1:3" x14ac:dyDescent="0.3">
      <c r="A20" t="s">
        <v>46</v>
      </c>
      <c r="B20" s="34">
        <v>-79615.61</v>
      </c>
      <c r="C20" t="s">
        <v>47</v>
      </c>
    </row>
    <row r="21" spans="1:3" x14ac:dyDescent="0.3">
      <c r="A21" t="s">
        <v>33</v>
      </c>
      <c r="B21" s="34"/>
    </row>
    <row r="22" spans="1:3" x14ac:dyDescent="0.3">
      <c r="A22" t="s">
        <v>39</v>
      </c>
      <c r="B22" s="34">
        <v>312.35000000000002</v>
      </c>
    </row>
    <row r="23" spans="1:3" x14ac:dyDescent="0.3">
      <c r="A23" t="s">
        <v>40</v>
      </c>
      <c r="B23" s="34">
        <v>1280000</v>
      </c>
    </row>
    <row r="24" spans="1:3" x14ac:dyDescent="0.3">
      <c r="A24" t="s">
        <v>48</v>
      </c>
      <c r="B24" s="34">
        <v>141137.35</v>
      </c>
    </row>
    <row r="25" spans="1:3" x14ac:dyDescent="0.3">
      <c r="A25" t="s">
        <v>42</v>
      </c>
      <c r="B25" s="34">
        <v>-528840.63</v>
      </c>
    </row>
    <row r="26" spans="1:3" x14ac:dyDescent="0.3">
      <c r="A26" t="s">
        <v>49</v>
      </c>
      <c r="B26" s="34">
        <v>565026.16</v>
      </c>
    </row>
    <row r="27" spans="1:3" x14ac:dyDescent="0.3">
      <c r="A27" t="s">
        <v>50</v>
      </c>
      <c r="B27" s="34">
        <f>700650-650650+37.71</f>
        <v>50037.71</v>
      </c>
    </row>
    <row r="28" spans="1:3" x14ac:dyDescent="0.3">
      <c r="A28" t="s">
        <v>51</v>
      </c>
      <c r="B28" s="40">
        <f>SUM(B18:B27)</f>
        <v>3297121.1100000003</v>
      </c>
    </row>
    <row r="29" spans="1:3" x14ac:dyDescent="0.3">
      <c r="A29" t="s">
        <v>52</v>
      </c>
      <c r="B29" s="35">
        <v>-3297121.1</v>
      </c>
    </row>
    <row r="30" spans="1:3" ht="15" thickBot="1" x14ac:dyDescent="0.35">
      <c r="A30" t="s">
        <v>45</v>
      </c>
      <c r="B30" s="41">
        <f>SUM(B28:B29)</f>
        <v>1.0000000242143869E-2</v>
      </c>
    </row>
    <row r="31" spans="1:3" ht="15" thickTop="1" x14ac:dyDescent="0.3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transitionEntry="1">
    <pageSetUpPr fitToPage="1"/>
  </sheetPr>
  <dimension ref="A1:H38"/>
  <sheetViews>
    <sheetView workbookViewId="0">
      <selection activeCell="A5" sqref="A5"/>
    </sheetView>
  </sheetViews>
  <sheetFormatPr defaultColWidth="9.109375" defaultRowHeight="13.2" x14ac:dyDescent="0.25"/>
  <cols>
    <col min="1" max="1" width="13.5546875" style="66" customWidth="1"/>
    <col min="2" max="2" width="14" style="66" bestFit="1" customWidth="1"/>
    <col min="3" max="3" width="2" style="66" customWidth="1"/>
    <col min="4" max="4" width="10.109375" style="66" customWidth="1"/>
    <col min="5" max="5" width="13.33203125" style="66" bestFit="1" customWidth="1"/>
    <col min="6" max="6" width="15.5546875" style="66" customWidth="1"/>
    <col min="7" max="7" width="14.6640625" style="66" customWidth="1"/>
    <col min="8" max="8" width="14.5546875" style="66" bestFit="1" customWidth="1"/>
    <col min="9" max="9" width="18.44140625" style="66" customWidth="1"/>
    <col min="10" max="16384" width="9.109375" style="66"/>
  </cols>
  <sheetData>
    <row r="1" spans="1:8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8" x14ac:dyDescent="0.25">
      <c r="A2" s="97" t="s">
        <v>172</v>
      </c>
      <c r="B2" s="97"/>
      <c r="C2" s="97"/>
      <c r="D2" s="97"/>
      <c r="E2" s="97"/>
      <c r="F2" s="97"/>
      <c r="G2" s="97"/>
      <c r="H2" s="97"/>
    </row>
    <row r="3" spans="1:8" x14ac:dyDescent="0.25">
      <c r="A3" s="97" t="s">
        <v>173</v>
      </c>
      <c r="B3" s="97"/>
      <c r="C3" s="97"/>
      <c r="D3" s="97"/>
      <c r="E3" s="97"/>
      <c r="F3" s="97"/>
      <c r="G3" s="97"/>
      <c r="H3" s="97"/>
    </row>
    <row r="4" spans="1:8" x14ac:dyDescent="0.25">
      <c r="A4" s="97" t="s">
        <v>212</v>
      </c>
      <c r="B4" s="97"/>
      <c r="C4" s="97"/>
      <c r="D4" s="97"/>
      <c r="E4" s="97"/>
      <c r="F4" s="97"/>
      <c r="G4" s="97"/>
      <c r="H4" s="97"/>
    </row>
    <row r="5" spans="1:8" x14ac:dyDescent="0.25">
      <c r="A5" s="67"/>
      <c r="B5" s="67"/>
      <c r="C5" s="67"/>
      <c r="D5" s="67"/>
      <c r="E5" s="67"/>
      <c r="F5" s="67"/>
      <c r="G5" s="67"/>
      <c r="H5" s="67"/>
    </row>
    <row r="6" spans="1:8" x14ac:dyDescent="0.25">
      <c r="A6" s="67"/>
      <c r="B6" s="67"/>
      <c r="C6" s="67"/>
      <c r="D6" s="67"/>
      <c r="E6" s="67"/>
      <c r="F6" s="67"/>
      <c r="G6" s="67"/>
      <c r="H6" s="67"/>
    </row>
    <row r="7" spans="1:8" x14ac:dyDescent="0.25">
      <c r="A7" s="67"/>
      <c r="B7" s="67"/>
      <c r="C7" s="67"/>
      <c r="D7" s="67"/>
      <c r="E7" s="67"/>
      <c r="F7" s="67"/>
      <c r="G7" s="67"/>
      <c r="H7" s="67"/>
    </row>
    <row r="8" spans="1:8" x14ac:dyDescent="0.25">
      <c r="A8" s="68" t="s">
        <v>174</v>
      </c>
      <c r="B8" s="67"/>
      <c r="C8" s="67"/>
      <c r="D8" s="67"/>
      <c r="E8" s="67"/>
      <c r="F8" s="67"/>
      <c r="G8" s="69">
        <v>1158095.92</v>
      </c>
      <c r="H8" s="67"/>
    </row>
    <row r="9" spans="1:8" x14ac:dyDescent="0.25">
      <c r="A9" s="67"/>
      <c r="B9" s="67"/>
      <c r="C9" s="67"/>
      <c r="D9" s="67"/>
      <c r="E9" s="67"/>
      <c r="F9" s="67"/>
      <c r="G9" s="67"/>
      <c r="H9" s="67"/>
    </row>
    <row r="10" spans="1:8" x14ac:dyDescent="0.25">
      <c r="A10" s="68" t="s">
        <v>175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/>
      <c r="B11" s="95"/>
      <c r="C11" s="67"/>
      <c r="D11" s="95"/>
      <c r="E11" s="67"/>
      <c r="F11" s="67"/>
      <c r="G11" s="71"/>
      <c r="H11" s="67"/>
    </row>
    <row r="12" spans="1:8" x14ac:dyDescent="0.25">
      <c r="A12" s="67"/>
      <c r="B12" s="67"/>
      <c r="C12" s="67"/>
      <c r="D12" s="67"/>
      <c r="E12" s="67"/>
      <c r="F12" s="67"/>
      <c r="G12" s="67"/>
      <c r="H12" s="67"/>
    </row>
    <row r="13" spans="1:8" x14ac:dyDescent="0.25">
      <c r="A13" s="67"/>
      <c r="B13" s="67"/>
      <c r="C13" s="67"/>
      <c r="D13" s="67"/>
      <c r="E13" s="67"/>
      <c r="F13" s="67"/>
      <c r="G13" s="67"/>
      <c r="H13" s="67"/>
    </row>
    <row r="14" spans="1:8" x14ac:dyDescent="0.25">
      <c r="A14" s="68" t="s">
        <v>176</v>
      </c>
      <c r="B14" s="67"/>
      <c r="C14" s="67"/>
      <c r="D14" s="67"/>
      <c r="E14" s="67"/>
      <c r="F14" s="67"/>
      <c r="G14" s="67"/>
      <c r="H14" s="67"/>
    </row>
    <row r="15" spans="1:8" x14ac:dyDescent="0.25">
      <c r="A15" s="70"/>
      <c r="B15" s="72"/>
      <c r="C15" s="67"/>
      <c r="D15" s="67"/>
      <c r="E15" s="69"/>
      <c r="F15" s="67"/>
      <c r="G15" s="67"/>
      <c r="H15" s="67"/>
    </row>
    <row r="16" spans="1:8" x14ac:dyDescent="0.25">
      <c r="A16" s="67"/>
      <c r="B16" s="72"/>
      <c r="C16" s="67"/>
      <c r="D16" s="67"/>
      <c r="E16" s="69"/>
      <c r="F16" s="67"/>
      <c r="G16" s="67"/>
      <c r="H16" s="67"/>
    </row>
    <row r="17" spans="1:8" x14ac:dyDescent="0.25">
      <c r="A17" s="73"/>
      <c r="B17" s="72"/>
      <c r="C17" s="73"/>
      <c r="D17" s="73"/>
      <c r="E17" s="69"/>
      <c r="F17" s="73"/>
      <c r="G17" s="73"/>
      <c r="H17" s="73"/>
    </row>
    <row r="18" spans="1:8" x14ac:dyDescent="0.25">
      <c r="A18" s="91"/>
      <c r="B18" s="72"/>
      <c r="C18" s="73"/>
      <c r="D18" s="73"/>
      <c r="E18" s="69"/>
      <c r="F18" s="73"/>
      <c r="G18" s="74"/>
      <c r="H18" s="73"/>
    </row>
    <row r="19" spans="1:8" x14ac:dyDescent="0.25">
      <c r="A19" s="73"/>
      <c r="B19" s="72"/>
      <c r="C19" s="73"/>
      <c r="D19" s="73"/>
      <c r="E19" s="73"/>
      <c r="F19" s="73"/>
      <c r="G19" s="73"/>
      <c r="H19" s="73"/>
    </row>
    <row r="20" spans="1:8" ht="13.8" thickBot="1" x14ac:dyDescent="0.3">
      <c r="A20" s="75" t="s">
        <v>177</v>
      </c>
      <c r="B20" s="72"/>
      <c r="C20" s="73"/>
      <c r="D20" s="73"/>
      <c r="E20" s="73"/>
      <c r="F20" s="73"/>
      <c r="G20" s="76">
        <f>SUM(G8:G19)</f>
        <v>1158095.92</v>
      </c>
      <c r="H20" s="73"/>
    </row>
    <row r="21" spans="1:8" ht="13.8" thickTop="1" x14ac:dyDescent="0.25">
      <c r="A21" s="73"/>
      <c r="B21" s="69"/>
      <c r="C21" s="73"/>
      <c r="D21" s="73"/>
      <c r="E21" s="73"/>
      <c r="F21" s="73"/>
      <c r="G21" s="73"/>
      <c r="H21" s="73"/>
    </row>
    <row r="22" spans="1:8" x14ac:dyDescent="0.25">
      <c r="A22" s="75" t="s">
        <v>178</v>
      </c>
      <c r="B22" s="69"/>
      <c r="C22" s="73"/>
      <c r="D22" s="73"/>
      <c r="E22" s="73"/>
      <c r="F22" s="73"/>
      <c r="G22" s="69">
        <v>1158095.92</v>
      </c>
      <c r="H22" s="73"/>
    </row>
    <row r="23" spans="1:8" x14ac:dyDescent="0.25">
      <c r="A23" s="75" t="s">
        <v>179</v>
      </c>
      <c r="B23" s="73"/>
      <c r="C23" s="73"/>
      <c r="D23" s="73"/>
      <c r="E23" s="73"/>
      <c r="F23" s="73"/>
      <c r="G23" s="69"/>
      <c r="H23" s="73"/>
    </row>
    <row r="24" spans="1:8" x14ac:dyDescent="0.25">
      <c r="A24" s="73"/>
      <c r="B24" s="73"/>
      <c r="C24" s="73"/>
      <c r="D24" s="73"/>
      <c r="E24" s="73"/>
      <c r="F24" s="73"/>
      <c r="G24" s="73"/>
      <c r="H24" s="73"/>
    </row>
    <row r="25" spans="1:8" x14ac:dyDescent="0.25">
      <c r="A25" s="73"/>
      <c r="B25" s="73"/>
      <c r="C25" s="73"/>
      <c r="D25" s="73"/>
      <c r="E25" s="73"/>
      <c r="F25" s="73"/>
      <c r="G25" s="73"/>
      <c r="H25" s="73"/>
    </row>
    <row r="26" spans="1:8" ht="13.8" thickBot="1" x14ac:dyDescent="0.3">
      <c r="A26" s="75" t="s">
        <v>180</v>
      </c>
      <c r="B26" s="73"/>
      <c r="C26" s="73"/>
      <c r="D26" s="73"/>
      <c r="E26" s="73"/>
      <c r="F26" s="73"/>
      <c r="G26" s="77">
        <f>SUM(G22:G25)</f>
        <v>1158095.92</v>
      </c>
      <c r="H26" s="73"/>
    </row>
    <row r="27" spans="1:8" ht="15" thickTop="1" x14ac:dyDescent="0.3">
      <c r="A27" s="73"/>
      <c r="B27" s="73"/>
      <c r="C27" s="73"/>
      <c r="D27" s="73"/>
      <c r="E27" s="73"/>
      <c r="F27" s="73"/>
      <c r="G27" s="78"/>
      <c r="H27" s="73"/>
    </row>
    <row r="28" spans="1:8" x14ac:dyDescent="0.25">
      <c r="A28" s="75" t="s">
        <v>181</v>
      </c>
      <c r="B28" s="73"/>
      <c r="C28" s="73"/>
      <c r="D28" s="73"/>
      <c r="E28" s="73"/>
      <c r="F28" s="73"/>
      <c r="G28" s="79">
        <f>G20-G26</f>
        <v>0</v>
      </c>
      <c r="H28" s="73"/>
    </row>
    <row r="29" spans="1:8" x14ac:dyDescent="0.25">
      <c r="A29" s="73"/>
      <c r="B29" s="73"/>
      <c r="C29" s="73"/>
      <c r="D29" s="73"/>
      <c r="E29" s="73"/>
      <c r="F29" s="73"/>
      <c r="G29" s="73"/>
      <c r="H29" s="73"/>
    </row>
    <row r="30" spans="1:8" ht="11.25" customHeight="1" x14ac:dyDescent="0.25">
      <c r="A30" s="73"/>
      <c r="B30" s="73"/>
      <c r="C30" s="73"/>
      <c r="D30" s="73"/>
      <c r="E30" s="73"/>
      <c r="F30" s="73"/>
      <c r="G30" s="73"/>
      <c r="H30" s="73"/>
    </row>
    <row r="31" spans="1:8" x14ac:dyDescent="0.25">
      <c r="A31" s="80" t="s">
        <v>182</v>
      </c>
      <c r="B31" s="80"/>
      <c r="C31" s="80"/>
      <c r="D31" s="92"/>
      <c r="E31" s="80"/>
      <c r="F31" s="80"/>
      <c r="G31" s="80"/>
      <c r="H31" s="80"/>
    </row>
    <row r="32" spans="1:8" ht="14.4" x14ac:dyDescent="0.3">
      <c r="A32" s="80" t="s">
        <v>183</v>
      </c>
      <c r="B32" s="94">
        <f>1014869.83+290.6+313.54+284.82+266.51+283.15+266.5+275.65+302.94+257.74+275.99+257.66+313.23</f>
        <v>1018258.1599999999</v>
      </c>
      <c r="C32" s="80"/>
      <c r="D32" s="82">
        <f>B32/B34</f>
        <v>0.87925200530885217</v>
      </c>
      <c r="E32" s="69">
        <f>D32*0</f>
        <v>0</v>
      </c>
      <c r="F32" s="80"/>
      <c r="G32" s="80"/>
      <c r="H32" s="80"/>
    </row>
    <row r="33" spans="1:8" ht="14.4" x14ac:dyDescent="0.3">
      <c r="A33" s="80" t="s">
        <v>145</v>
      </c>
      <c r="B33" s="94">
        <f>564104.69+161.52-78.5-225000+104.76+94.94+88.84+94.61-200000+36.6+37.85+41.31+35.15+37.9+35.38+42.71</f>
        <v>139837.75999999998</v>
      </c>
      <c r="C33" s="80" t="s">
        <v>184</v>
      </c>
      <c r="D33" s="82">
        <f>B33/B34</f>
        <v>0.12074799469114786</v>
      </c>
      <c r="E33" s="69">
        <f>-E32+0</f>
        <v>0</v>
      </c>
      <c r="F33" s="83" t="s">
        <v>198</v>
      </c>
      <c r="G33" s="84">
        <f>E33*1</f>
        <v>0</v>
      </c>
      <c r="H33" s="80"/>
    </row>
    <row r="34" spans="1:8" ht="15" thickBot="1" x14ac:dyDescent="0.35">
      <c r="A34" s="80"/>
      <c r="B34" s="93">
        <f>SUM(B32:B33)</f>
        <v>1158095.92</v>
      </c>
      <c r="C34" s="80"/>
      <c r="D34" s="86">
        <f>SUM(D32:D33)</f>
        <v>1</v>
      </c>
      <c r="E34" s="87"/>
      <c r="F34" s="83" t="s">
        <v>199</v>
      </c>
      <c r="G34" s="84">
        <f>E33*0</f>
        <v>0</v>
      </c>
      <c r="H34" s="80"/>
    </row>
    <row r="35" spans="1:8" ht="13.8" thickTop="1" x14ac:dyDescent="0.25">
      <c r="A35" s="80"/>
      <c r="B35" s="80"/>
      <c r="C35" s="80"/>
      <c r="D35" s="80"/>
      <c r="E35" s="80"/>
      <c r="F35" s="88"/>
      <c r="G35" s="80"/>
      <c r="H35" s="80"/>
    </row>
    <row r="36" spans="1:8" x14ac:dyDescent="0.25">
      <c r="A36" s="83" t="s">
        <v>187</v>
      </c>
      <c r="B36" s="80"/>
      <c r="C36" s="80"/>
      <c r="D36" s="80"/>
      <c r="E36" s="80"/>
      <c r="F36" s="80"/>
      <c r="G36" s="80"/>
      <c r="H36" s="80"/>
    </row>
    <row r="38" spans="1:8" ht="14.4" x14ac:dyDescent="0.3">
      <c r="A38" s="89">
        <v>0</v>
      </c>
      <c r="B38" s="90">
        <f>A38/B33</f>
        <v>0</v>
      </c>
    </row>
  </sheetData>
  <mergeCells count="4">
    <mergeCell ref="A1:H1"/>
    <mergeCell ref="A2:H2"/>
    <mergeCell ref="A3:H3"/>
    <mergeCell ref="A4:H4"/>
  </mergeCells>
  <pageMargins left="0.54" right="0.45" top="0.52" bottom="0.48" header="0.37" footer="0.22"/>
  <pageSetup scale="99" fitToHeight="2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transitionEvaluation="1" transitionEntry="1">
    <pageSetUpPr fitToPage="1"/>
  </sheetPr>
  <dimension ref="A1:H38"/>
  <sheetViews>
    <sheetView workbookViewId="0">
      <selection activeCell="A5" sqref="A5"/>
    </sheetView>
  </sheetViews>
  <sheetFormatPr defaultColWidth="9.109375" defaultRowHeight="13.2" x14ac:dyDescent="0.25"/>
  <cols>
    <col min="1" max="1" width="13.5546875" style="66" customWidth="1"/>
    <col min="2" max="2" width="14" style="66" bestFit="1" customWidth="1"/>
    <col min="3" max="3" width="2" style="66" customWidth="1"/>
    <col min="4" max="4" width="10.109375" style="66" customWidth="1"/>
    <col min="5" max="5" width="13.33203125" style="66" bestFit="1" customWidth="1"/>
    <col min="6" max="6" width="15.109375" style="66" customWidth="1"/>
    <col min="7" max="7" width="14.6640625" style="66" customWidth="1"/>
    <col min="8" max="8" width="14.5546875" style="66" bestFit="1" customWidth="1"/>
    <col min="9" max="9" width="18.44140625" style="66" customWidth="1"/>
    <col min="10" max="16384" width="9.109375" style="66"/>
  </cols>
  <sheetData>
    <row r="1" spans="1:8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8" x14ac:dyDescent="0.25">
      <c r="A2" s="97" t="s">
        <v>172</v>
      </c>
      <c r="B2" s="97"/>
      <c r="C2" s="97"/>
      <c r="D2" s="97"/>
      <c r="E2" s="97"/>
      <c r="F2" s="97"/>
      <c r="G2" s="97"/>
      <c r="H2" s="97"/>
    </row>
    <row r="3" spans="1:8" x14ac:dyDescent="0.25">
      <c r="A3" s="97" t="s">
        <v>173</v>
      </c>
      <c r="B3" s="97"/>
      <c r="C3" s="97"/>
      <c r="D3" s="97"/>
      <c r="E3" s="97"/>
      <c r="F3" s="97"/>
      <c r="G3" s="97"/>
      <c r="H3" s="97"/>
    </row>
    <row r="4" spans="1:8" x14ac:dyDescent="0.25">
      <c r="A4" s="97" t="s">
        <v>200</v>
      </c>
      <c r="B4" s="97"/>
      <c r="C4" s="97"/>
      <c r="D4" s="97"/>
      <c r="E4" s="97"/>
      <c r="F4" s="97"/>
      <c r="G4" s="97"/>
      <c r="H4" s="97"/>
    </row>
    <row r="5" spans="1:8" x14ac:dyDescent="0.25">
      <c r="A5" s="67"/>
      <c r="B5" s="67"/>
      <c r="C5" s="67"/>
      <c r="D5" s="67"/>
      <c r="E5" s="67"/>
      <c r="F5" s="67"/>
      <c r="G5" s="67"/>
      <c r="H5" s="67"/>
    </row>
    <row r="6" spans="1:8" x14ac:dyDescent="0.25">
      <c r="A6" s="67"/>
      <c r="B6" s="67"/>
      <c r="C6" s="67"/>
      <c r="D6" s="67"/>
      <c r="E6" s="67"/>
      <c r="F6" s="67"/>
      <c r="G6" s="67"/>
      <c r="H6" s="67"/>
    </row>
    <row r="7" spans="1:8" x14ac:dyDescent="0.25">
      <c r="A7" s="67"/>
      <c r="B7" s="67"/>
      <c r="C7" s="67"/>
      <c r="D7" s="67"/>
      <c r="E7" s="67"/>
      <c r="F7" s="67"/>
      <c r="G7" s="67"/>
      <c r="H7" s="67"/>
    </row>
    <row r="8" spans="1:8" x14ac:dyDescent="0.25">
      <c r="A8" s="68" t="s">
        <v>174</v>
      </c>
      <c r="B8" s="67"/>
      <c r="C8" s="67"/>
      <c r="D8" s="67"/>
      <c r="E8" s="67"/>
      <c r="F8" s="67"/>
      <c r="G8" s="69">
        <v>1578974.52</v>
      </c>
      <c r="H8" s="67"/>
    </row>
    <row r="9" spans="1:8" x14ac:dyDescent="0.25">
      <c r="A9" s="67"/>
      <c r="B9" s="67"/>
      <c r="C9" s="67"/>
      <c r="D9" s="67"/>
      <c r="E9" s="67"/>
      <c r="F9" s="67"/>
      <c r="G9" s="67"/>
      <c r="H9" s="67"/>
    </row>
    <row r="10" spans="1:8" x14ac:dyDescent="0.25">
      <c r="A10" s="68" t="s">
        <v>175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/>
      <c r="B11" s="69"/>
      <c r="C11" s="67"/>
      <c r="D11" s="67"/>
      <c r="E11" s="67"/>
      <c r="F11" s="67"/>
      <c r="G11" s="71"/>
      <c r="H11" s="67"/>
    </row>
    <row r="12" spans="1:8" x14ac:dyDescent="0.25">
      <c r="A12" s="67"/>
      <c r="B12" s="67"/>
      <c r="C12" s="67"/>
      <c r="D12" s="67"/>
      <c r="E12" s="67"/>
      <c r="F12" s="67"/>
      <c r="G12" s="67"/>
      <c r="H12" s="67"/>
    </row>
    <row r="13" spans="1:8" x14ac:dyDescent="0.25">
      <c r="A13" s="67"/>
      <c r="B13" s="67"/>
      <c r="C13" s="67"/>
      <c r="D13" s="67"/>
      <c r="E13" s="67"/>
      <c r="F13" s="67"/>
      <c r="G13" s="67"/>
      <c r="H13" s="67"/>
    </row>
    <row r="14" spans="1:8" x14ac:dyDescent="0.25">
      <c r="A14" s="68" t="s">
        <v>176</v>
      </c>
      <c r="B14" s="67"/>
      <c r="C14" s="67"/>
      <c r="D14" s="67"/>
      <c r="E14" s="67"/>
      <c r="F14" s="67"/>
      <c r="G14" s="67"/>
      <c r="H14" s="67"/>
    </row>
    <row r="15" spans="1:8" x14ac:dyDescent="0.25">
      <c r="A15" s="70"/>
      <c r="B15" s="72"/>
      <c r="C15" s="67"/>
      <c r="D15" s="67"/>
      <c r="E15" s="69"/>
      <c r="F15" s="67"/>
      <c r="G15" s="67"/>
      <c r="H15" s="67"/>
    </row>
    <row r="16" spans="1:8" x14ac:dyDescent="0.25">
      <c r="A16" s="67"/>
      <c r="B16" s="72"/>
      <c r="C16" s="67"/>
      <c r="D16" s="67"/>
      <c r="E16" s="69"/>
      <c r="F16" s="67"/>
      <c r="G16" s="67"/>
      <c r="H16" s="67"/>
    </row>
    <row r="17" spans="1:8" x14ac:dyDescent="0.25">
      <c r="A17" s="73"/>
      <c r="B17" s="72"/>
      <c r="C17" s="73"/>
      <c r="D17" s="73"/>
      <c r="E17" s="69"/>
      <c r="F17" s="73"/>
      <c r="G17" s="73"/>
      <c r="H17" s="73"/>
    </row>
    <row r="18" spans="1:8" x14ac:dyDescent="0.25">
      <c r="A18" s="91"/>
      <c r="B18" s="72"/>
      <c r="C18" s="73"/>
      <c r="D18" s="73"/>
      <c r="E18" s="69"/>
      <c r="F18" s="73"/>
      <c r="G18" s="74"/>
      <c r="H18" s="73"/>
    </row>
    <row r="19" spans="1:8" x14ac:dyDescent="0.25">
      <c r="A19" s="73"/>
      <c r="B19" s="72"/>
      <c r="C19" s="73"/>
      <c r="D19" s="73"/>
      <c r="E19" s="73"/>
      <c r="F19" s="73"/>
      <c r="G19" s="73"/>
      <c r="H19" s="73"/>
    </row>
    <row r="20" spans="1:8" ht="13.8" thickBot="1" x14ac:dyDescent="0.3">
      <c r="A20" s="75" t="s">
        <v>177</v>
      </c>
      <c r="B20" s="72"/>
      <c r="C20" s="73"/>
      <c r="D20" s="73"/>
      <c r="E20" s="73"/>
      <c r="F20" s="73"/>
      <c r="G20" s="76">
        <f>SUM(G8:G19)</f>
        <v>1578974.52</v>
      </c>
      <c r="H20" s="73"/>
    </row>
    <row r="21" spans="1:8" ht="13.8" thickTop="1" x14ac:dyDescent="0.25">
      <c r="A21" s="73"/>
      <c r="B21" s="69"/>
      <c r="C21" s="73"/>
      <c r="D21" s="73"/>
      <c r="E21" s="73"/>
      <c r="F21" s="73"/>
      <c r="G21" s="73"/>
      <c r="H21" s="73"/>
    </row>
    <row r="22" spans="1:8" x14ac:dyDescent="0.25">
      <c r="A22" s="75" t="s">
        <v>178</v>
      </c>
      <c r="B22" s="69"/>
      <c r="C22" s="73"/>
      <c r="D22" s="73"/>
      <c r="E22" s="73"/>
      <c r="F22" s="73"/>
      <c r="G22" s="69">
        <v>1578974.52</v>
      </c>
      <c r="H22" s="73"/>
    </row>
    <row r="23" spans="1:8" x14ac:dyDescent="0.25">
      <c r="A23" s="75" t="s">
        <v>179</v>
      </c>
      <c r="B23" s="73"/>
      <c r="C23" s="73"/>
      <c r="D23" s="73"/>
      <c r="E23" s="73"/>
      <c r="F23" s="73"/>
      <c r="G23" s="69"/>
      <c r="H23" s="73"/>
    </row>
    <row r="24" spans="1:8" x14ac:dyDescent="0.25">
      <c r="A24" s="73"/>
      <c r="B24" s="73"/>
      <c r="C24" s="73"/>
      <c r="D24" s="73"/>
      <c r="E24" s="73"/>
      <c r="F24" s="73"/>
      <c r="G24" s="73"/>
      <c r="H24" s="73"/>
    </row>
    <row r="25" spans="1:8" x14ac:dyDescent="0.25">
      <c r="A25" s="73"/>
      <c r="B25" s="73"/>
      <c r="C25" s="73"/>
      <c r="D25" s="73"/>
      <c r="E25" s="73"/>
      <c r="F25" s="73"/>
      <c r="G25" s="73"/>
      <c r="H25" s="73"/>
    </row>
    <row r="26" spans="1:8" ht="13.8" thickBot="1" x14ac:dyDescent="0.3">
      <c r="A26" s="75" t="s">
        <v>180</v>
      </c>
      <c r="B26" s="73"/>
      <c r="C26" s="73"/>
      <c r="D26" s="73"/>
      <c r="E26" s="73"/>
      <c r="F26" s="73"/>
      <c r="G26" s="77">
        <f>SUM(G22:G25)</f>
        <v>1578974.52</v>
      </c>
      <c r="H26" s="73"/>
    </row>
    <row r="27" spans="1:8" ht="15" thickTop="1" x14ac:dyDescent="0.3">
      <c r="A27" s="73"/>
      <c r="B27" s="73"/>
      <c r="C27" s="73"/>
      <c r="D27" s="73"/>
      <c r="E27" s="73"/>
      <c r="F27" s="73"/>
      <c r="G27" s="78"/>
      <c r="H27" s="73"/>
    </row>
    <row r="28" spans="1:8" x14ac:dyDescent="0.25">
      <c r="A28" s="75" t="s">
        <v>181</v>
      </c>
      <c r="B28" s="73"/>
      <c r="C28" s="73"/>
      <c r="D28" s="73"/>
      <c r="E28" s="73"/>
      <c r="F28" s="73"/>
      <c r="G28" s="79">
        <f>G20-G26</f>
        <v>0</v>
      </c>
      <c r="H28" s="73"/>
    </row>
    <row r="29" spans="1:8" x14ac:dyDescent="0.25">
      <c r="A29" s="73"/>
      <c r="B29" s="73"/>
      <c r="C29" s="73"/>
      <c r="D29" s="73"/>
      <c r="E29" s="73"/>
      <c r="F29" s="73"/>
      <c r="G29" s="73"/>
      <c r="H29" s="73"/>
    </row>
    <row r="30" spans="1:8" ht="11.25" customHeight="1" x14ac:dyDescent="0.25">
      <c r="A30" s="73"/>
      <c r="B30" s="73"/>
      <c r="C30" s="73"/>
      <c r="D30" s="73"/>
      <c r="E30" s="73"/>
      <c r="F30" s="73"/>
      <c r="G30" s="73"/>
      <c r="H30" s="73"/>
    </row>
    <row r="31" spans="1:8" x14ac:dyDescent="0.25">
      <c r="A31" s="80" t="s">
        <v>182</v>
      </c>
      <c r="B31" s="80"/>
      <c r="C31" s="80"/>
      <c r="D31" s="92"/>
      <c r="E31" s="80"/>
      <c r="F31" s="80"/>
      <c r="G31" s="80"/>
      <c r="H31" s="80"/>
    </row>
    <row r="32" spans="1:8" ht="14.4" x14ac:dyDescent="0.3">
      <c r="A32" s="80" t="s">
        <v>183</v>
      </c>
      <c r="B32" s="81">
        <f>1309150.73+1233.19+473.08+440.82+409.62+423.41+444.39+423.69+437.5-300000+297.5+327.22+316.77+0.49+491.42</f>
        <v>1014869.83</v>
      </c>
      <c r="C32" s="80"/>
      <c r="D32" s="82">
        <f>B32/B34</f>
        <v>0.64273983977904825</v>
      </c>
      <c r="E32" s="69">
        <f>D32*0</f>
        <v>0</v>
      </c>
      <c r="F32" s="80"/>
      <c r="G32" s="80"/>
      <c r="H32" s="80"/>
    </row>
    <row r="33" spans="1:8" ht="14.4" x14ac:dyDescent="0.3">
      <c r="A33" s="80" t="s">
        <v>145</v>
      </c>
      <c r="B33" s="81">
        <f>2587505.7+161.1+934.2+870.69+668.14+140.75+836.11-500000+708.21+675.22+697.23+614.48+675.87+654.27-251310.43-1280000+273.15</f>
        <v>564104.69000000053</v>
      </c>
      <c r="C33" s="80" t="s">
        <v>184</v>
      </c>
      <c r="D33" s="82">
        <f>B33/B34</f>
        <v>0.35726016022095175</v>
      </c>
      <c r="E33" s="69">
        <f>-E32+0</f>
        <v>0</v>
      </c>
      <c r="F33" s="83" t="s">
        <v>198</v>
      </c>
      <c r="G33" s="84">
        <f>E33*1</f>
        <v>0</v>
      </c>
      <c r="H33" s="80"/>
    </row>
    <row r="34" spans="1:8" ht="15" thickBot="1" x14ac:dyDescent="0.35">
      <c r="A34" s="80"/>
      <c r="B34" s="93">
        <f>SUM(B32:B33)</f>
        <v>1578974.5200000005</v>
      </c>
      <c r="C34" s="80"/>
      <c r="D34" s="86">
        <f>SUM(D32:D33)</f>
        <v>1</v>
      </c>
      <c r="E34" s="87"/>
      <c r="F34" s="83" t="s">
        <v>199</v>
      </c>
      <c r="G34" s="84">
        <f>E33*0</f>
        <v>0</v>
      </c>
      <c r="H34" s="80"/>
    </row>
    <row r="35" spans="1:8" ht="13.8" thickTop="1" x14ac:dyDescent="0.25">
      <c r="A35" s="80"/>
      <c r="B35" s="80"/>
      <c r="C35" s="80"/>
      <c r="D35" s="80"/>
      <c r="E35" s="80"/>
      <c r="F35" s="88"/>
      <c r="G35" s="80"/>
      <c r="H35" s="80"/>
    </row>
    <row r="36" spans="1:8" x14ac:dyDescent="0.25">
      <c r="A36" s="83" t="s">
        <v>187</v>
      </c>
      <c r="B36" s="80"/>
      <c r="C36" s="80"/>
      <c r="D36" s="80"/>
      <c r="E36" s="80"/>
      <c r="F36" s="80"/>
      <c r="G36" s="80"/>
      <c r="H36" s="80"/>
    </row>
    <row r="38" spans="1:8" ht="14.4" x14ac:dyDescent="0.3">
      <c r="A38" s="89">
        <f>450581.43+140.75+145.48-200000+123.23+81.02+83.67+73.74+81.1+78.51-251310.43</f>
        <v>78.5</v>
      </c>
      <c r="B38" s="90">
        <f>A38/B33</f>
        <v>1.3915856647105687E-4</v>
      </c>
    </row>
  </sheetData>
  <mergeCells count="4">
    <mergeCell ref="A1:H1"/>
    <mergeCell ref="A2:H2"/>
    <mergeCell ref="A3:H3"/>
    <mergeCell ref="A4:H4"/>
  </mergeCells>
  <pageMargins left="0.54" right="0.45" top="0.52" bottom="0.48" header="0.37" footer="0.22"/>
  <pageSetup fitToHeight="2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E12"/>
  <sheetViews>
    <sheetView workbookViewId="0">
      <selection activeCell="F23" sqref="F23"/>
    </sheetView>
  </sheetViews>
  <sheetFormatPr defaultRowHeight="14.4" x14ac:dyDescent="0.3"/>
  <cols>
    <col min="1" max="1" width="9.5546875" bestFit="1" customWidth="1"/>
    <col min="2" max="4" width="14.33203125" bestFit="1" customWidth="1"/>
  </cols>
  <sheetData>
    <row r="1" spans="1:5" x14ac:dyDescent="0.3">
      <c r="A1" s="61">
        <v>41801</v>
      </c>
    </row>
    <row r="2" spans="1:5" x14ac:dyDescent="0.3">
      <c r="B2" t="s">
        <v>135</v>
      </c>
      <c r="C2" t="s">
        <v>136</v>
      </c>
      <c r="D2" t="s">
        <v>137</v>
      </c>
    </row>
    <row r="3" spans="1:5" x14ac:dyDescent="0.3">
      <c r="A3" t="s">
        <v>138</v>
      </c>
      <c r="B3" s="62">
        <v>789585.63</v>
      </c>
      <c r="C3" s="62"/>
      <c r="D3" s="62"/>
    </row>
    <row r="4" spans="1:5" x14ac:dyDescent="0.3">
      <c r="A4" t="s">
        <v>139</v>
      </c>
      <c r="B4" s="62">
        <v>1375227.92</v>
      </c>
      <c r="C4" s="62">
        <v>1176382.1599999999</v>
      </c>
      <c r="D4" s="62">
        <f>B4-C4</f>
        <v>198845.76</v>
      </c>
      <c r="E4" t="s">
        <v>140</v>
      </c>
    </row>
    <row r="5" spans="1:5" x14ac:dyDescent="0.3">
      <c r="A5" t="s">
        <v>141</v>
      </c>
      <c r="B5" s="62">
        <v>3109520.38</v>
      </c>
      <c r="C5" s="62">
        <v>3109520.38</v>
      </c>
      <c r="D5" s="62">
        <f>B5-C5</f>
        <v>0</v>
      </c>
    </row>
    <row r="6" spans="1:5" x14ac:dyDescent="0.3">
      <c r="B6" s="62"/>
      <c r="C6" s="62"/>
      <c r="D6" s="62"/>
    </row>
    <row r="7" spans="1:5" x14ac:dyDescent="0.3">
      <c r="B7" s="62"/>
      <c r="C7" s="62"/>
      <c r="D7" s="62"/>
    </row>
    <row r="8" spans="1:5" x14ac:dyDescent="0.3">
      <c r="B8" t="s">
        <v>142</v>
      </c>
      <c r="C8" t="s">
        <v>143</v>
      </c>
      <c r="D8" t="s">
        <v>144</v>
      </c>
    </row>
    <row r="9" spans="1:5" x14ac:dyDescent="0.3">
      <c r="A9" t="s">
        <v>145</v>
      </c>
      <c r="B9" s="62">
        <f>759751.46-23686.41</f>
        <v>736065.04999999993</v>
      </c>
      <c r="C9" s="62">
        <f>615258.06-174940.95</f>
        <v>440317.11000000004</v>
      </c>
      <c r="D9" s="63">
        <f>SUM(B9:C9)</f>
        <v>1176382.1599999999</v>
      </c>
    </row>
    <row r="10" spans="1:5" x14ac:dyDescent="0.3">
      <c r="A10" t="s">
        <v>146</v>
      </c>
      <c r="B10" s="62">
        <v>251310.43</v>
      </c>
      <c r="C10" s="62">
        <v>2858209.95</v>
      </c>
      <c r="D10" s="63">
        <f t="shared" ref="D10:D11" si="0">SUM(B10:C10)</f>
        <v>3109520.3800000004</v>
      </c>
    </row>
    <row r="11" spans="1:5" ht="15" thickBot="1" x14ac:dyDescent="0.35">
      <c r="A11" t="s">
        <v>144</v>
      </c>
      <c r="B11" s="64">
        <f>SUM(B9:B10)</f>
        <v>987375.48</v>
      </c>
      <c r="C11" s="64">
        <f>SUM(C9:C10)</f>
        <v>3298527.06</v>
      </c>
      <c r="D11" s="65">
        <f t="shared" si="0"/>
        <v>4285902.54</v>
      </c>
    </row>
    <row r="12" spans="1:5" ht="15" thickTop="1" x14ac:dyDescent="0.3"/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J39"/>
  <sheetViews>
    <sheetView zoomScaleNormal="100" workbookViewId="0">
      <selection activeCell="B10" sqref="B10"/>
    </sheetView>
  </sheetViews>
  <sheetFormatPr defaultColWidth="9.109375" defaultRowHeight="15" x14ac:dyDescent="0.25"/>
  <cols>
    <col min="1" max="1" width="49.44140625" style="2" bestFit="1" customWidth="1"/>
    <col min="2" max="4" width="19.109375" style="2" customWidth="1"/>
    <col min="5" max="5" width="5.88671875" style="2" customWidth="1"/>
    <col min="6" max="7" width="9.109375" style="2"/>
    <col min="8" max="8" width="15.6640625" style="2" customWidth="1"/>
    <col min="9" max="9" width="3.5546875" style="2" customWidth="1"/>
    <col min="10" max="10" width="15.109375" style="2" bestFit="1" customWidth="1"/>
    <col min="11" max="16384" width="9.109375" style="2"/>
  </cols>
  <sheetData>
    <row r="1" spans="1:10" ht="15.6" x14ac:dyDescent="0.3">
      <c r="A1" s="96" t="s">
        <v>0</v>
      </c>
      <c r="B1" s="96"/>
      <c r="C1" s="96"/>
      <c r="D1" s="96"/>
      <c r="E1" s="1"/>
      <c r="F1" s="1"/>
    </row>
    <row r="2" spans="1:10" ht="15.6" x14ac:dyDescent="0.3">
      <c r="A2" s="96" t="s">
        <v>1</v>
      </c>
      <c r="B2" s="96"/>
      <c r="C2" s="96"/>
      <c r="D2" s="96"/>
      <c r="E2" s="1"/>
      <c r="F2" s="1"/>
    </row>
    <row r="3" spans="1:10" ht="15.6" x14ac:dyDescent="0.3">
      <c r="A3" s="96" t="s">
        <v>147</v>
      </c>
      <c r="B3" s="96"/>
      <c r="C3" s="96"/>
      <c r="D3" s="96"/>
      <c r="E3" s="1"/>
      <c r="F3" s="1"/>
    </row>
    <row r="4" spans="1:10" ht="15.6" x14ac:dyDescent="0.3">
      <c r="A4" s="60"/>
      <c r="B4" s="60"/>
      <c r="C4" s="60"/>
      <c r="D4" s="60"/>
      <c r="E4" s="1"/>
      <c r="F4" s="1"/>
    </row>
    <row r="5" spans="1:10" ht="15.6" x14ac:dyDescent="0.3">
      <c r="A5" s="60"/>
      <c r="B5" s="60"/>
      <c r="C5" s="60"/>
      <c r="D5" s="60"/>
      <c r="E5" s="1"/>
      <c r="F5" s="1"/>
    </row>
    <row r="6" spans="1:10" x14ac:dyDescent="0.25">
      <c r="A6" s="1"/>
      <c r="B6" s="1"/>
      <c r="C6" s="1"/>
      <c r="D6" s="4"/>
      <c r="E6" s="1"/>
      <c r="F6" s="1"/>
    </row>
    <row r="7" spans="1:10" x14ac:dyDescent="0.25">
      <c r="A7" s="1"/>
      <c r="B7" s="1"/>
      <c r="C7" s="1"/>
      <c r="D7" s="1"/>
      <c r="E7" s="1"/>
      <c r="F7" s="1"/>
      <c r="G7" s="5"/>
      <c r="H7" s="5"/>
      <c r="I7" s="5"/>
      <c r="J7" s="5"/>
    </row>
    <row r="8" spans="1:10" ht="15.6" x14ac:dyDescent="0.3">
      <c r="A8" s="6"/>
      <c r="B8" s="7"/>
      <c r="C8" s="7"/>
      <c r="D8" s="8"/>
      <c r="E8" s="1"/>
      <c r="F8" s="1"/>
      <c r="G8" s="5"/>
      <c r="H8" s="9"/>
      <c r="I8" s="5"/>
      <c r="J8" s="9"/>
    </row>
    <row r="9" spans="1:10" ht="15.6" x14ac:dyDescent="0.3">
      <c r="A9" s="6" t="s">
        <v>3</v>
      </c>
      <c r="B9" s="7">
        <v>857923.38</v>
      </c>
      <c r="C9" s="7"/>
      <c r="D9" s="8"/>
      <c r="E9" s="1"/>
      <c r="F9" s="1"/>
      <c r="G9" s="5"/>
      <c r="H9" s="9"/>
      <c r="I9" s="5"/>
      <c r="J9" s="9"/>
    </row>
    <row r="10" spans="1:10" ht="15.6" x14ac:dyDescent="0.3">
      <c r="A10" s="6" t="s">
        <v>4</v>
      </c>
      <c r="B10" s="10">
        <f>637849.98-384731.45+666666.67-1348348.85+666666.66+200000-35939.45-256591.11+666666.67-17843.34-18634.62-16009.7</f>
        <v>759751.46</v>
      </c>
      <c r="C10" s="10"/>
      <c r="D10" s="8"/>
      <c r="E10" s="1"/>
      <c r="F10" s="1"/>
      <c r="G10" s="5"/>
      <c r="H10" s="9"/>
      <c r="I10" s="5"/>
      <c r="J10" s="9"/>
    </row>
    <row r="11" spans="1:10" ht="15.6" x14ac:dyDescent="0.3">
      <c r="A11" s="6" t="s">
        <v>5</v>
      </c>
      <c r="B11" s="13">
        <v>251388.94</v>
      </c>
      <c r="C11" s="14"/>
      <c r="D11" s="8"/>
      <c r="E11" s="1"/>
      <c r="F11" s="1"/>
      <c r="H11" s="12"/>
    </row>
    <row r="12" spans="1:10" ht="15.6" x14ac:dyDescent="0.3">
      <c r="A12" s="15" t="s">
        <v>9</v>
      </c>
      <c r="B12" s="7"/>
      <c r="C12" s="7">
        <f>SUM(B8:B11)</f>
        <v>1869063.7799999998</v>
      </c>
      <c r="D12" s="8"/>
      <c r="E12" s="1"/>
      <c r="F12" s="1"/>
      <c r="G12" s="5"/>
      <c r="H12" s="16"/>
      <c r="I12" s="17"/>
      <c r="J12" s="16"/>
    </row>
    <row r="13" spans="1:10" x14ac:dyDescent="0.25">
      <c r="A13" s="1"/>
      <c r="B13" s="7"/>
      <c r="C13" s="7"/>
      <c r="D13" s="8"/>
      <c r="E13" s="1"/>
      <c r="F13" s="1"/>
    </row>
    <row r="14" spans="1:10" ht="15.6" x14ac:dyDescent="0.3">
      <c r="A14" s="6" t="s">
        <v>10</v>
      </c>
      <c r="B14" s="18">
        <v>610139.17000000004</v>
      </c>
      <c r="C14" s="7"/>
      <c r="D14" s="8"/>
      <c r="E14" s="1"/>
      <c r="F14" s="1"/>
      <c r="H14" s="12"/>
    </row>
    <row r="15" spans="1:10" ht="15.6" x14ac:dyDescent="0.3">
      <c r="A15" s="6" t="s">
        <v>11</v>
      </c>
      <c r="B15" s="7">
        <f>-B10+1375009.52</f>
        <v>615258.06000000006</v>
      </c>
      <c r="C15" s="10"/>
      <c r="D15" s="8"/>
      <c r="E15" s="1"/>
      <c r="F15" s="1"/>
      <c r="H15" s="12"/>
    </row>
    <row r="16" spans="1:10" ht="15.6" x14ac:dyDescent="0.3">
      <c r="A16" s="6" t="s">
        <v>12</v>
      </c>
      <c r="B16" s="7">
        <f>-B11+3109520.38</f>
        <v>2858131.44</v>
      </c>
      <c r="C16" s="11"/>
      <c r="D16" s="8"/>
      <c r="E16" s="1"/>
      <c r="F16" s="1"/>
      <c r="H16" s="12"/>
    </row>
    <row r="17" spans="1:8" ht="15.6" x14ac:dyDescent="0.3">
      <c r="A17" s="6" t="s">
        <v>13</v>
      </c>
      <c r="B17" s="19">
        <f>2800+11797.8+4015.15+1665</f>
        <v>20277.95</v>
      </c>
      <c r="C17" s="13"/>
      <c r="D17" s="8"/>
      <c r="E17" s="1"/>
      <c r="F17" s="1"/>
      <c r="H17" s="12"/>
    </row>
    <row r="18" spans="1:8" ht="15.6" x14ac:dyDescent="0.3">
      <c r="A18" s="6" t="s">
        <v>14</v>
      </c>
      <c r="B18" s="10"/>
      <c r="C18" s="10">
        <f>SUM(B14:B17)</f>
        <v>4103806.62</v>
      </c>
      <c r="D18" s="8"/>
      <c r="E18" s="1"/>
      <c r="F18" s="1"/>
      <c r="H18" s="12"/>
    </row>
    <row r="19" spans="1:8" ht="6" customHeight="1" x14ac:dyDescent="0.3">
      <c r="A19" s="6"/>
      <c r="B19" s="10"/>
      <c r="C19" s="10"/>
      <c r="D19" s="8"/>
      <c r="E19" s="1"/>
      <c r="F19" s="1"/>
      <c r="H19" s="12"/>
    </row>
    <row r="20" spans="1:8" ht="15.6" x14ac:dyDescent="0.3">
      <c r="A20" s="6" t="s">
        <v>15</v>
      </c>
      <c r="B20" s="7"/>
      <c r="C20" s="20">
        <f>C12+C18</f>
        <v>5972870.4000000004</v>
      </c>
      <c r="D20" s="8"/>
      <c r="E20" s="1"/>
      <c r="F20" s="1"/>
      <c r="H20" s="12"/>
    </row>
    <row r="21" spans="1:8" ht="6" customHeight="1" x14ac:dyDescent="0.25">
      <c r="A21" s="1"/>
      <c r="B21" s="7"/>
      <c r="C21" s="7"/>
      <c r="D21" s="8"/>
      <c r="E21" s="1"/>
      <c r="F21" s="1"/>
    </row>
    <row r="22" spans="1:8" ht="15.6" x14ac:dyDescent="0.3">
      <c r="A22" s="6" t="s">
        <v>16</v>
      </c>
      <c r="B22" s="7"/>
      <c r="C22" s="10">
        <v>0</v>
      </c>
      <c r="D22" s="21"/>
      <c r="E22" s="1"/>
      <c r="F22" s="1"/>
      <c r="H22" s="22"/>
    </row>
    <row r="23" spans="1:8" ht="6" customHeight="1" x14ac:dyDescent="0.3">
      <c r="A23" s="6"/>
      <c r="B23" s="10"/>
      <c r="C23" s="10"/>
      <c r="D23" s="21"/>
      <c r="E23" s="1"/>
      <c r="F23" s="1"/>
      <c r="H23" s="22"/>
    </row>
    <row r="24" spans="1:8" ht="16.2" thickBot="1" x14ac:dyDescent="0.35">
      <c r="A24" s="6" t="s">
        <v>17</v>
      </c>
      <c r="B24" s="7"/>
      <c r="C24" s="23">
        <f>C12+B26</f>
        <v>5972870.4000000004</v>
      </c>
      <c r="E24" s="1"/>
      <c r="F24" s="1"/>
      <c r="H24" s="22"/>
    </row>
    <row r="25" spans="1:8" ht="15.6" thickTop="1" x14ac:dyDescent="0.25">
      <c r="A25" s="1"/>
      <c r="B25" s="1"/>
      <c r="C25" s="1"/>
      <c r="D25" s="1"/>
      <c r="E25" s="1"/>
      <c r="F25" s="1"/>
    </row>
    <row r="26" spans="1:8" ht="16.2" thickBot="1" x14ac:dyDescent="0.35">
      <c r="A26" s="24" t="s">
        <v>18</v>
      </c>
      <c r="B26" s="25">
        <f>C18+C22</f>
        <v>4103806.62</v>
      </c>
      <c r="C26" s="26"/>
      <c r="D26" s="27"/>
      <c r="E26" s="26"/>
      <c r="F26" s="26"/>
    </row>
    <row r="27" spans="1:8" ht="16.2" thickTop="1" x14ac:dyDescent="0.3">
      <c r="A27" s="24"/>
      <c r="B27" s="10"/>
      <c r="C27" s="26"/>
      <c r="D27" s="27"/>
      <c r="E27" s="26"/>
      <c r="F27" s="26"/>
    </row>
    <row r="28" spans="1:8" ht="5.25" customHeight="1" x14ac:dyDescent="0.3">
      <c r="A28" s="24"/>
      <c r="B28" s="10"/>
      <c r="C28" s="26"/>
      <c r="D28" s="27"/>
      <c r="E28" s="26"/>
      <c r="F28" s="26"/>
    </row>
    <row r="29" spans="1:8" ht="15.6" x14ac:dyDescent="0.3">
      <c r="A29" s="28" t="s">
        <v>148</v>
      </c>
      <c r="B29" s="1"/>
      <c r="C29" s="1"/>
      <c r="D29" s="1"/>
      <c r="E29" s="1"/>
      <c r="F29" s="1"/>
    </row>
    <row r="30" spans="1:8" ht="15.6" x14ac:dyDescent="0.3">
      <c r="A30" s="29" t="s">
        <v>149</v>
      </c>
      <c r="B30" s="1"/>
      <c r="C30" s="1"/>
      <c r="D30" s="1"/>
      <c r="E30" s="1"/>
      <c r="F30" s="1"/>
    </row>
    <row r="31" spans="1:8" ht="15.6" x14ac:dyDescent="0.3">
      <c r="A31" s="6" t="s">
        <v>150</v>
      </c>
      <c r="B31" s="1"/>
      <c r="C31" s="1"/>
      <c r="D31" s="1"/>
      <c r="E31" s="1"/>
      <c r="F31" s="1"/>
    </row>
    <row r="32" spans="1:8" x14ac:dyDescent="0.25">
      <c r="A32" s="1"/>
      <c r="B32" s="1"/>
      <c r="C32" s="1"/>
      <c r="D32" s="1"/>
      <c r="E32" s="1"/>
      <c r="F32" s="1"/>
    </row>
    <row r="33" spans="1:6" ht="15.6" x14ac:dyDescent="0.3">
      <c r="A33" s="6" t="s">
        <v>22</v>
      </c>
      <c r="B33" s="1"/>
      <c r="C33" s="1"/>
      <c r="D33" s="1"/>
      <c r="E33" s="1"/>
      <c r="F33" s="1"/>
    </row>
    <row r="34" spans="1:6" ht="15.6" x14ac:dyDescent="0.3">
      <c r="A34" s="6" t="s">
        <v>23</v>
      </c>
      <c r="B34" s="7">
        <f>66645.75+8981.51</f>
        <v>75627.259999999995</v>
      </c>
      <c r="C34" s="10"/>
      <c r="D34" s="1"/>
      <c r="E34" s="1"/>
      <c r="F34" s="1"/>
    </row>
    <row r="35" spans="1:6" ht="15.6" x14ac:dyDescent="0.3">
      <c r="A35" s="6" t="s">
        <v>25</v>
      </c>
      <c r="B35" s="7">
        <f>2088+27507.14</f>
        <v>29595.14</v>
      </c>
      <c r="C35" s="10"/>
      <c r="D35" s="1"/>
      <c r="E35" s="1"/>
      <c r="F35" s="1"/>
    </row>
    <row r="36" spans="1:6" ht="15.6" x14ac:dyDescent="0.3">
      <c r="A36" s="6" t="s">
        <v>26</v>
      </c>
      <c r="B36" s="7">
        <f>924.75+234136.8</f>
        <v>235061.55</v>
      </c>
      <c r="C36" s="10"/>
      <c r="D36" s="1"/>
      <c r="E36" s="1"/>
      <c r="F36" s="1"/>
    </row>
    <row r="37" spans="1:6" ht="15.6" hidden="1" x14ac:dyDescent="0.3">
      <c r="A37" s="6" t="s">
        <v>27</v>
      </c>
      <c r="B37" s="7"/>
      <c r="C37" s="10"/>
      <c r="D37" s="1"/>
      <c r="E37" s="1"/>
      <c r="F37" s="1"/>
    </row>
    <row r="38" spans="1:6" ht="15.6" thickBot="1" x14ac:dyDescent="0.3">
      <c r="A38" s="1"/>
      <c r="B38" s="30">
        <f>SUM(B34:B37)</f>
        <v>340283.94999999995</v>
      </c>
      <c r="C38" s="31"/>
      <c r="D38" s="1"/>
      <c r="E38" s="1"/>
      <c r="F38" s="1"/>
    </row>
    <row r="39" spans="1:6" ht="15.6" thickTop="1" x14ac:dyDescent="0.25">
      <c r="A39" s="1"/>
      <c r="B39" s="1"/>
      <c r="C39" s="32"/>
      <c r="D39" s="1"/>
      <c r="E39" s="1"/>
      <c r="F39" s="1"/>
    </row>
  </sheetData>
  <mergeCells count="3">
    <mergeCell ref="A1:D1"/>
    <mergeCell ref="A2:D2"/>
    <mergeCell ref="A3:D3"/>
  </mergeCells>
  <pageMargins left="0.45" right="0.2" top="0.75" bottom="0.75" header="0.3" footer="0.3"/>
  <pageSetup scale="82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D29"/>
  <sheetViews>
    <sheetView workbookViewId="0">
      <selection activeCell="A9" sqref="A9"/>
    </sheetView>
  </sheetViews>
  <sheetFormatPr defaultRowHeight="14.4" x14ac:dyDescent="0.3"/>
  <cols>
    <col min="1" max="1" width="24.33203125" customWidth="1"/>
    <col min="2" max="2" width="14.6640625" bestFit="1" customWidth="1"/>
    <col min="6" max="6" width="11.88671875" customWidth="1"/>
  </cols>
  <sheetData>
    <row r="1" spans="1:4" x14ac:dyDescent="0.3">
      <c r="A1" s="33" t="s">
        <v>151</v>
      </c>
    </row>
    <row r="2" spans="1:4" x14ac:dyDescent="0.3">
      <c r="A2" t="s">
        <v>29</v>
      </c>
      <c r="B2" s="34">
        <v>4005734.33</v>
      </c>
    </row>
    <row r="3" spans="1:4" x14ac:dyDescent="0.3">
      <c r="A3" t="s">
        <v>30</v>
      </c>
      <c r="B3" s="35">
        <v>0</v>
      </c>
    </row>
    <row r="4" spans="1:4" x14ac:dyDescent="0.3">
      <c r="A4" t="s">
        <v>31</v>
      </c>
      <c r="B4" s="34">
        <v>617664.85</v>
      </c>
    </row>
    <row r="5" spans="1:4" x14ac:dyDescent="0.3">
      <c r="A5" t="s">
        <v>32</v>
      </c>
      <c r="B5" s="34">
        <v>-541609.91</v>
      </c>
      <c r="D5" s="35"/>
    </row>
    <row r="6" spans="1:4" x14ac:dyDescent="0.3">
      <c r="A6" t="s">
        <v>33</v>
      </c>
      <c r="B6" s="34"/>
      <c r="C6" t="s">
        <v>34</v>
      </c>
    </row>
    <row r="7" spans="1:4" x14ac:dyDescent="0.3">
      <c r="A7" t="s">
        <v>35</v>
      </c>
      <c r="B7" s="34">
        <f>-311611.26+-B20</f>
        <v>-295601.56</v>
      </c>
    </row>
    <row r="8" spans="1:4" x14ac:dyDescent="0.3">
      <c r="A8" t="s">
        <v>36</v>
      </c>
      <c r="B8" s="36">
        <v>214955.98</v>
      </c>
      <c r="C8" t="s">
        <v>37</v>
      </c>
    </row>
    <row r="9" spans="1:4" x14ac:dyDescent="0.3">
      <c r="A9" t="s">
        <v>38</v>
      </c>
      <c r="B9" s="34">
        <v>-214210.54</v>
      </c>
    </row>
    <row r="10" spans="1:4" x14ac:dyDescent="0.3">
      <c r="A10" t="s">
        <v>39</v>
      </c>
      <c r="B10" s="34">
        <v>892.53</v>
      </c>
    </row>
    <row r="11" spans="1:4" x14ac:dyDescent="0.3">
      <c r="A11" t="s">
        <v>40</v>
      </c>
      <c r="B11" s="34">
        <v>0</v>
      </c>
      <c r="C11" t="s">
        <v>152</v>
      </c>
    </row>
    <row r="12" spans="1:4" x14ac:dyDescent="0.3">
      <c r="A12" t="s">
        <v>16</v>
      </c>
      <c r="B12" s="34">
        <v>0</v>
      </c>
    </row>
    <row r="13" spans="1:4" x14ac:dyDescent="0.3">
      <c r="A13" t="s">
        <v>42</v>
      </c>
      <c r="B13" s="34">
        <v>315980.94</v>
      </c>
    </row>
    <row r="14" spans="1:4" x14ac:dyDescent="0.3">
      <c r="A14" t="s">
        <v>43</v>
      </c>
      <c r="B14" s="37">
        <f>SUM(B2:B13)</f>
        <v>4103806.6199999992</v>
      </c>
    </row>
    <row r="15" spans="1:4" x14ac:dyDescent="0.3">
      <c r="A15" t="s">
        <v>44</v>
      </c>
      <c r="B15" s="34">
        <v>-4103806.62</v>
      </c>
    </row>
    <row r="16" spans="1:4" ht="15" thickBot="1" x14ac:dyDescent="0.35">
      <c r="A16" t="s">
        <v>45</v>
      </c>
      <c r="B16" s="38">
        <f>SUM(B14:B15)</f>
        <v>0</v>
      </c>
    </row>
    <row r="17" spans="1:3" ht="15" thickTop="1" x14ac:dyDescent="0.3">
      <c r="B17" s="39"/>
    </row>
    <row r="18" spans="1:3" x14ac:dyDescent="0.3">
      <c r="A18" t="s">
        <v>29</v>
      </c>
      <c r="B18" s="35">
        <v>2147252.9300000002</v>
      </c>
    </row>
    <row r="19" spans="1:3" x14ac:dyDescent="0.3">
      <c r="A19" t="s">
        <v>30</v>
      </c>
      <c r="B19" s="34"/>
    </row>
    <row r="20" spans="1:3" x14ac:dyDescent="0.3">
      <c r="A20" t="s">
        <v>46</v>
      </c>
      <c r="B20" s="34">
        <v>-16009.7</v>
      </c>
      <c r="C20" t="s">
        <v>47</v>
      </c>
    </row>
    <row r="21" spans="1:3" x14ac:dyDescent="0.3">
      <c r="A21" t="s">
        <v>33</v>
      </c>
      <c r="B21" s="34"/>
    </row>
    <row r="22" spans="1:3" x14ac:dyDescent="0.3">
      <c r="A22" t="s">
        <v>39</v>
      </c>
      <c r="B22" s="34">
        <v>78.510000000000005</v>
      </c>
    </row>
    <row r="23" spans="1:3" x14ac:dyDescent="0.3">
      <c r="A23" t="s">
        <v>40</v>
      </c>
      <c r="B23" s="34">
        <v>0</v>
      </c>
    </row>
    <row r="24" spans="1:3" x14ac:dyDescent="0.3">
      <c r="A24" t="s">
        <v>48</v>
      </c>
      <c r="B24" s="34">
        <v>53722.98</v>
      </c>
    </row>
    <row r="25" spans="1:3" x14ac:dyDescent="0.3">
      <c r="A25" t="s">
        <v>42</v>
      </c>
      <c r="B25" s="34">
        <v>-315980.94</v>
      </c>
    </row>
    <row r="26" spans="1:3" x14ac:dyDescent="0.3">
      <c r="A26" t="s">
        <v>51</v>
      </c>
      <c r="B26" s="40">
        <f>SUM(B18:B25)</f>
        <v>1869063.7799999998</v>
      </c>
    </row>
    <row r="27" spans="1:3" x14ac:dyDescent="0.3">
      <c r="A27" t="s">
        <v>52</v>
      </c>
      <c r="B27" s="35">
        <v>-1869063.78</v>
      </c>
    </row>
    <row r="28" spans="1:3" ht="15" thickBot="1" x14ac:dyDescent="0.35">
      <c r="A28" t="s">
        <v>45</v>
      </c>
      <c r="B28" s="41">
        <f>SUM(B26:B27)</f>
        <v>0</v>
      </c>
    </row>
    <row r="29" spans="1:3" ht="15" thickTop="1" x14ac:dyDescent="0.3"/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transitionEvaluation="1" transitionEntry="1">
    <pageSetUpPr fitToPage="1"/>
  </sheetPr>
  <dimension ref="A1:H38"/>
  <sheetViews>
    <sheetView workbookViewId="0">
      <selection activeCell="A5" sqref="A5"/>
    </sheetView>
  </sheetViews>
  <sheetFormatPr defaultColWidth="9.109375" defaultRowHeight="13.2" x14ac:dyDescent="0.25"/>
  <cols>
    <col min="1" max="1" width="13.5546875" style="66" customWidth="1"/>
    <col min="2" max="2" width="14" style="66" bestFit="1" customWidth="1"/>
    <col min="3" max="3" width="2" style="66" customWidth="1"/>
    <col min="4" max="4" width="10.109375" style="66" customWidth="1"/>
    <col min="5" max="5" width="13.33203125" style="66" bestFit="1" customWidth="1"/>
    <col min="6" max="6" width="15.109375" style="66" customWidth="1"/>
    <col min="7" max="7" width="14.6640625" style="66" customWidth="1"/>
    <col min="8" max="8" width="14.5546875" style="66" bestFit="1" customWidth="1"/>
    <col min="9" max="9" width="18.44140625" style="66" customWidth="1"/>
    <col min="10" max="16384" width="9.109375" style="66"/>
  </cols>
  <sheetData>
    <row r="1" spans="1:8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8" x14ac:dyDescent="0.25">
      <c r="A2" s="97" t="s">
        <v>172</v>
      </c>
      <c r="B2" s="97"/>
      <c r="C2" s="97"/>
      <c r="D2" s="97"/>
      <c r="E2" s="97"/>
      <c r="F2" s="97"/>
      <c r="G2" s="97"/>
      <c r="H2" s="97"/>
    </row>
    <row r="3" spans="1:8" x14ac:dyDescent="0.25">
      <c r="A3" s="97" t="s">
        <v>173</v>
      </c>
      <c r="B3" s="97"/>
      <c r="C3" s="97"/>
      <c r="D3" s="97"/>
      <c r="E3" s="97"/>
      <c r="F3" s="97"/>
      <c r="G3" s="97"/>
      <c r="H3" s="97"/>
    </row>
    <row r="4" spans="1:8" x14ac:dyDescent="0.25">
      <c r="A4" s="97" t="s">
        <v>197</v>
      </c>
      <c r="B4" s="97"/>
      <c r="C4" s="97"/>
      <c r="D4" s="97"/>
      <c r="E4" s="97"/>
      <c r="F4" s="97"/>
      <c r="G4" s="97"/>
      <c r="H4" s="97"/>
    </row>
    <row r="5" spans="1:8" x14ac:dyDescent="0.25">
      <c r="A5" s="67"/>
      <c r="B5" s="67"/>
      <c r="C5" s="67"/>
      <c r="D5" s="67"/>
      <c r="E5" s="67"/>
      <c r="F5" s="67"/>
      <c r="G5" s="67"/>
      <c r="H5" s="67"/>
    </row>
    <row r="6" spans="1:8" x14ac:dyDescent="0.25">
      <c r="A6" s="67"/>
      <c r="B6" s="67"/>
      <c r="C6" s="67"/>
      <c r="D6" s="67"/>
      <c r="E6" s="67"/>
      <c r="F6" s="67"/>
      <c r="G6" s="67"/>
      <c r="H6" s="67"/>
    </row>
    <row r="7" spans="1:8" x14ac:dyDescent="0.25">
      <c r="A7" s="67"/>
      <c r="B7" s="67"/>
      <c r="C7" s="67"/>
      <c r="D7" s="67"/>
      <c r="E7" s="67"/>
      <c r="F7" s="67"/>
      <c r="G7" s="67"/>
      <c r="H7" s="67"/>
    </row>
    <row r="8" spans="1:8" x14ac:dyDescent="0.25">
      <c r="A8" s="68" t="s">
        <v>174</v>
      </c>
      <c r="B8" s="67"/>
      <c r="C8" s="67"/>
      <c r="D8" s="67"/>
      <c r="E8" s="67"/>
      <c r="F8" s="67"/>
      <c r="G8" s="69">
        <v>3109520.38</v>
      </c>
      <c r="H8" s="67"/>
    </row>
    <row r="9" spans="1:8" x14ac:dyDescent="0.25">
      <c r="A9" s="67"/>
      <c r="B9" s="67"/>
      <c r="C9" s="67"/>
      <c r="D9" s="67"/>
      <c r="E9" s="67"/>
      <c r="F9" s="67"/>
      <c r="G9" s="67"/>
      <c r="H9" s="67"/>
    </row>
    <row r="10" spans="1:8" x14ac:dyDescent="0.25">
      <c r="A10" s="68" t="s">
        <v>175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/>
      <c r="B11" s="69"/>
      <c r="C11" s="67"/>
      <c r="D11" s="67"/>
      <c r="E11" s="67"/>
      <c r="F11" s="67"/>
      <c r="G11" s="71"/>
      <c r="H11" s="67"/>
    </row>
    <row r="12" spans="1:8" x14ac:dyDescent="0.25">
      <c r="A12" s="67"/>
      <c r="B12" s="67"/>
      <c r="C12" s="67"/>
      <c r="D12" s="67"/>
      <c r="E12" s="67"/>
      <c r="F12" s="67"/>
      <c r="G12" s="67"/>
      <c r="H12" s="67"/>
    </row>
    <row r="13" spans="1:8" x14ac:dyDescent="0.25">
      <c r="A13" s="67"/>
      <c r="B13" s="67"/>
      <c r="C13" s="67"/>
      <c r="D13" s="67"/>
      <c r="E13" s="67"/>
      <c r="F13" s="67"/>
      <c r="G13" s="67"/>
      <c r="H13" s="67"/>
    </row>
    <row r="14" spans="1:8" x14ac:dyDescent="0.25">
      <c r="A14" s="68" t="s">
        <v>176</v>
      </c>
      <c r="B14" s="67"/>
      <c r="C14" s="67"/>
      <c r="D14" s="67"/>
      <c r="E14" s="67"/>
      <c r="F14" s="67"/>
      <c r="G14" s="67"/>
      <c r="H14" s="67"/>
    </row>
    <row r="15" spans="1:8" x14ac:dyDescent="0.25">
      <c r="A15" s="70"/>
      <c r="B15" s="72"/>
      <c r="C15" s="67"/>
      <c r="D15" s="67"/>
      <c r="E15" s="69"/>
      <c r="F15" s="67"/>
      <c r="G15" s="67"/>
      <c r="H15" s="67"/>
    </row>
    <row r="16" spans="1:8" x14ac:dyDescent="0.25">
      <c r="A16" s="67"/>
      <c r="B16" s="72"/>
      <c r="C16" s="67"/>
      <c r="D16" s="67"/>
      <c r="E16" s="69"/>
      <c r="F16" s="67"/>
      <c r="G16" s="67"/>
      <c r="H16" s="67"/>
    </row>
    <row r="17" spans="1:8" x14ac:dyDescent="0.25">
      <c r="A17" s="73"/>
      <c r="B17" s="72"/>
      <c r="C17" s="73"/>
      <c r="D17" s="73"/>
      <c r="E17" s="69"/>
      <c r="F17" s="73"/>
      <c r="G17" s="73"/>
      <c r="H17" s="73"/>
    </row>
    <row r="18" spans="1:8" x14ac:dyDescent="0.25">
      <c r="A18" s="91"/>
      <c r="B18" s="72"/>
      <c r="C18" s="73"/>
      <c r="D18" s="73"/>
      <c r="E18" s="69"/>
      <c r="F18" s="73"/>
      <c r="G18" s="74"/>
      <c r="H18" s="73"/>
    </row>
    <row r="19" spans="1:8" x14ac:dyDescent="0.25">
      <c r="A19" s="73"/>
      <c r="B19" s="72"/>
      <c r="C19" s="73"/>
      <c r="D19" s="73"/>
      <c r="E19" s="73"/>
      <c r="F19" s="73"/>
      <c r="G19" s="73"/>
      <c r="H19" s="73"/>
    </row>
    <row r="20" spans="1:8" ht="13.8" thickBot="1" x14ac:dyDescent="0.3">
      <c r="A20" s="75" t="s">
        <v>177</v>
      </c>
      <c r="B20" s="72"/>
      <c r="C20" s="73"/>
      <c r="D20" s="73"/>
      <c r="E20" s="73"/>
      <c r="F20" s="73"/>
      <c r="G20" s="76">
        <f>SUM(G8:G19)</f>
        <v>3109520.38</v>
      </c>
      <c r="H20" s="73"/>
    </row>
    <row r="21" spans="1:8" ht="13.8" thickTop="1" x14ac:dyDescent="0.25">
      <c r="A21" s="73"/>
      <c r="B21" s="69"/>
      <c r="C21" s="73"/>
      <c r="D21" s="73"/>
      <c r="E21" s="73"/>
      <c r="F21" s="73"/>
      <c r="G21" s="73"/>
      <c r="H21" s="73"/>
    </row>
    <row r="22" spans="1:8" x14ac:dyDescent="0.25">
      <c r="A22" s="75" t="s">
        <v>178</v>
      </c>
      <c r="B22" s="69"/>
      <c r="C22" s="73"/>
      <c r="D22" s="73"/>
      <c r="E22" s="73"/>
      <c r="F22" s="73"/>
      <c r="G22" s="69">
        <v>3109520.38</v>
      </c>
      <c r="H22" s="73"/>
    </row>
    <row r="23" spans="1:8" x14ac:dyDescent="0.25">
      <c r="A23" s="75" t="s">
        <v>179</v>
      </c>
      <c r="B23" s="73"/>
      <c r="C23" s="73"/>
      <c r="D23" s="73"/>
      <c r="E23" s="73"/>
      <c r="F23" s="73"/>
      <c r="G23" s="69"/>
      <c r="H23" s="73"/>
    </row>
    <row r="24" spans="1:8" x14ac:dyDescent="0.25">
      <c r="A24" s="73"/>
      <c r="B24" s="73"/>
      <c r="C24" s="73"/>
      <c r="D24" s="73"/>
      <c r="E24" s="73"/>
      <c r="F24" s="73"/>
      <c r="G24" s="73"/>
      <c r="H24" s="73"/>
    </row>
    <row r="25" spans="1:8" x14ac:dyDescent="0.25">
      <c r="A25" s="73"/>
      <c r="B25" s="73"/>
      <c r="C25" s="73"/>
      <c r="D25" s="73"/>
      <c r="E25" s="73"/>
      <c r="F25" s="73"/>
      <c r="G25" s="73"/>
      <c r="H25" s="73"/>
    </row>
    <row r="26" spans="1:8" ht="13.8" thickBot="1" x14ac:dyDescent="0.3">
      <c r="A26" s="75" t="s">
        <v>180</v>
      </c>
      <c r="B26" s="73"/>
      <c r="C26" s="73"/>
      <c r="D26" s="73"/>
      <c r="E26" s="73"/>
      <c r="F26" s="73"/>
      <c r="G26" s="77">
        <f>SUM(G22:G25)</f>
        <v>3109520.38</v>
      </c>
      <c r="H26" s="73"/>
    </row>
    <row r="27" spans="1:8" ht="15" thickTop="1" x14ac:dyDescent="0.3">
      <c r="A27" s="73"/>
      <c r="B27" s="73"/>
      <c r="C27" s="73"/>
      <c r="D27" s="73"/>
      <c r="E27" s="73"/>
      <c r="F27" s="73"/>
      <c r="G27" s="78"/>
      <c r="H27" s="73"/>
    </row>
    <row r="28" spans="1:8" x14ac:dyDescent="0.25">
      <c r="A28" s="75" t="s">
        <v>181</v>
      </c>
      <c r="B28" s="73"/>
      <c r="C28" s="73"/>
      <c r="D28" s="73"/>
      <c r="E28" s="73"/>
      <c r="F28" s="73"/>
      <c r="G28" s="79">
        <f>G20-G26</f>
        <v>0</v>
      </c>
      <c r="H28" s="73"/>
    </row>
    <row r="29" spans="1:8" x14ac:dyDescent="0.25">
      <c r="A29" s="73"/>
      <c r="B29" s="73"/>
      <c r="C29" s="73"/>
      <c r="D29" s="73"/>
      <c r="E29" s="73"/>
      <c r="F29" s="73"/>
      <c r="G29" s="73"/>
      <c r="H29" s="73"/>
    </row>
    <row r="30" spans="1:8" ht="11.25" customHeight="1" x14ac:dyDescent="0.25">
      <c r="A30" s="73"/>
      <c r="B30" s="73"/>
      <c r="C30" s="73"/>
      <c r="D30" s="73"/>
      <c r="E30" s="73"/>
      <c r="F30" s="73"/>
      <c r="G30" s="73"/>
      <c r="H30" s="73"/>
    </row>
    <row r="31" spans="1:8" x14ac:dyDescent="0.25">
      <c r="A31" s="80" t="s">
        <v>182</v>
      </c>
      <c r="B31" s="80"/>
      <c r="C31" s="80"/>
      <c r="D31" s="92"/>
      <c r="E31" s="80"/>
      <c r="F31" s="80"/>
      <c r="G31" s="80"/>
      <c r="H31" s="80"/>
    </row>
    <row r="32" spans="1:8" ht="14.4" x14ac:dyDescent="0.3">
      <c r="A32" s="80" t="s">
        <v>183</v>
      </c>
      <c r="B32" s="81">
        <f>1309150.73+1233.19+473.08+440.82+409.62+423.41+444.39+423.69+437.5-300000+297.5+327.22</f>
        <v>1014061.1499999999</v>
      </c>
      <c r="C32" s="80"/>
      <c r="D32" s="82">
        <f>B32/B34</f>
        <v>0.32621689377665714</v>
      </c>
      <c r="E32" s="69">
        <f>D32*971.04</f>
        <v>316.76965253288512</v>
      </c>
      <c r="F32" s="80"/>
      <c r="G32" s="80"/>
      <c r="H32" s="80"/>
    </row>
    <row r="33" spans="1:8" ht="14.4" x14ac:dyDescent="0.3">
      <c r="A33" s="80" t="s">
        <v>145</v>
      </c>
      <c r="B33" s="81">
        <f>2587505.7+161.1+934.2+870.69+668.14+140.75+836.11-500000+708.21+675.22+697.23+614.48+675.87</f>
        <v>2094487.7000000004</v>
      </c>
      <c r="C33" s="80" t="s">
        <v>184</v>
      </c>
      <c r="D33" s="82">
        <f>B33/B34</f>
        <v>0.67378310622334281</v>
      </c>
      <c r="E33" s="69">
        <f>-E32+971.04</f>
        <v>654.27034746711479</v>
      </c>
      <c r="F33" s="83" t="s">
        <v>189</v>
      </c>
      <c r="G33" s="84">
        <f>E33*0.88</f>
        <v>575.75790577106102</v>
      </c>
      <c r="H33" s="80"/>
    </row>
    <row r="34" spans="1:8" ht="15" thickBot="1" x14ac:dyDescent="0.35">
      <c r="A34" s="80"/>
      <c r="B34" s="85">
        <f>SUM(B32:B33)</f>
        <v>3108548.8500000006</v>
      </c>
      <c r="C34" s="80"/>
      <c r="D34" s="86">
        <f>SUM(D32:D33)</f>
        <v>1</v>
      </c>
      <c r="E34" s="87"/>
      <c r="F34" s="83" t="s">
        <v>190</v>
      </c>
      <c r="G34" s="84">
        <f>E33*0.12</f>
        <v>78.51244169605377</v>
      </c>
      <c r="H34" s="80"/>
    </row>
    <row r="35" spans="1:8" ht="13.8" thickTop="1" x14ac:dyDescent="0.25">
      <c r="A35" s="80"/>
      <c r="B35" s="80"/>
      <c r="C35" s="80"/>
      <c r="D35" s="80"/>
      <c r="E35" s="80"/>
      <c r="F35" s="88"/>
      <c r="G35" s="80"/>
      <c r="H35" s="80"/>
    </row>
    <row r="36" spans="1:8" x14ac:dyDescent="0.25">
      <c r="A36" s="83" t="s">
        <v>187</v>
      </c>
      <c r="B36" s="80"/>
      <c r="C36" s="80"/>
      <c r="D36" s="80"/>
      <c r="E36" s="80"/>
      <c r="F36" s="80"/>
      <c r="G36" s="80"/>
      <c r="H36" s="80"/>
    </row>
    <row r="38" spans="1:8" ht="14.4" x14ac:dyDescent="0.3">
      <c r="A38" s="89">
        <f>450581.43+140.75+145.48-200000+123.23+81.03+83.67+73.74+81.1+78.51</f>
        <v>251388.94</v>
      </c>
      <c r="B38" s="90">
        <f>A38/B33</f>
        <v>0.120024070802612</v>
      </c>
    </row>
  </sheetData>
  <mergeCells count="4">
    <mergeCell ref="A1:H1"/>
    <mergeCell ref="A2:H2"/>
    <mergeCell ref="A3:H3"/>
    <mergeCell ref="A4:H4"/>
  </mergeCells>
  <pageMargins left="0.54" right="0.45" top="0.52" bottom="0.48" header="0.37" footer="0.22"/>
  <pageSetup fitToHeight="2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J39"/>
  <sheetViews>
    <sheetView zoomScaleNormal="100" workbookViewId="0">
      <selection activeCell="C12" sqref="C12"/>
    </sheetView>
  </sheetViews>
  <sheetFormatPr defaultColWidth="9.109375" defaultRowHeight="15" x14ac:dyDescent="0.25"/>
  <cols>
    <col min="1" max="1" width="49.44140625" style="2" bestFit="1" customWidth="1"/>
    <col min="2" max="4" width="19.109375" style="2" customWidth="1"/>
    <col min="5" max="5" width="5.88671875" style="2" customWidth="1"/>
    <col min="6" max="7" width="9.109375" style="2"/>
    <col min="8" max="8" width="15.6640625" style="2" customWidth="1"/>
    <col min="9" max="9" width="3.5546875" style="2" customWidth="1"/>
    <col min="10" max="10" width="15.109375" style="2" bestFit="1" customWidth="1"/>
    <col min="11" max="16384" width="9.109375" style="2"/>
  </cols>
  <sheetData>
    <row r="1" spans="1:10" ht="15.6" x14ac:dyDescent="0.3">
      <c r="A1" s="96" t="s">
        <v>0</v>
      </c>
      <c r="B1" s="96"/>
      <c r="C1" s="96"/>
      <c r="D1" s="96"/>
      <c r="E1" s="1"/>
      <c r="F1" s="1"/>
    </row>
    <row r="2" spans="1:10" ht="15.6" x14ac:dyDescent="0.3">
      <c r="A2" s="96" t="s">
        <v>1</v>
      </c>
      <c r="B2" s="96"/>
      <c r="C2" s="96"/>
      <c r="D2" s="96"/>
      <c r="E2" s="1"/>
      <c r="F2" s="1"/>
    </row>
    <row r="3" spans="1:10" ht="15.6" x14ac:dyDescent="0.3">
      <c r="A3" s="96" t="s">
        <v>153</v>
      </c>
      <c r="B3" s="96"/>
      <c r="C3" s="96"/>
      <c r="D3" s="96"/>
      <c r="E3" s="1"/>
      <c r="F3" s="1"/>
    </row>
    <row r="4" spans="1:10" ht="15.6" x14ac:dyDescent="0.3">
      <c r="A4" s="60"/>
      <c r="B4" s="60"/>
      <c r="C4" s="60"/>
      <c r="D4" s="60"/>
      <c r="E4" s="1"/>
      <c r="F4" s="1"/>
    </row>
    <row r="5" spans="1:10" ht="15.6" x14ac:dyDescent="0.3">
      <c r="A5" s="60"/>
      <c r="B5" s="60"/>
      <c r="C5" s="60"/>
      <c r="D5" s="60"/>
      <c r="E5" s="1"/>
      <c r="F5" s="1"/>
    </row>
    <row r="6" spans="1:10" x14ac:dyDescent="0.25">
      <c r="A6" s="1"/>
      <c r="B6" s="1"/>
      <c r="C6" s="1"/>
      <c r="D6" s="4"/>
      <c r="E6" s="1"/>
      <c r="F6" s="1"/>
    </row>
    <row r="7" spans="1:10" x14ac:dyDescent="0.25">
      <c r="A7" s="1"/>
      <c r="B7" s="1"/>
      <c r="C7" s="1"/>
      <c r="D7" s="1"/>
      <c r="E7" s="1"/>
      <c r="F7" s="1"/>
      <c r="G7" s="5"/>
      <c r="H7" s="5"/>
      <c r="I7" s="5"/>
      <c r="J7" s="5"/>
    </row>
    <row r="8" spans="1:10" ht="15.6" x14ac:dyDescent="0.3">
      <c r="A8" s="6"/>
      <c r="B8" s="7"/>
      <c r="C8" s="7"/>
      <c r="D8" s="8"/>
      <c r="E8" s="1"/>
      <c r="F8" s="1"/>
      <c r="G8" s="5"/>
      <c r="H8" s="9"/>
      <c r="I8" s="5"/>
      <c r="J8" s="9"/>
    </row>
    <row r="9" spans="1:10" ht="15.6" x14ac:dyDescent="0.3">
      <c r="A9" s="6" t="s">
        <v>3</v>
      </c>
      <c r="B9" s="7">
        <v>1120181.3400000001</v>
      </c>
      <c r="C9" s="7"/>
      <c r="D9" s="8"/>
      <c r="E9" s="1"/>
      <c r="F9" s="1"/>
      <c r="G9" s="5"/>
      <c r="H9" s="9"/>
      <c r="I9" s="5"/>
      <c r="J9" s="9"/>
    </row>
    <row r="10" spans="1:10" ht="15.6" x14ac:dyDescent="0.3">
      <c r="A10" s="6" t="s">
        <v>4</v>
      </c>
      <c r="B10" s="10">
        <f>637849.98-384731.45+666666.67-1348348.85+666666.66+200000-35939.45-256591.11+666666.67-17843.34-18634.62</f>
        <v>775761.15999999992</v>
      </c>
      <c r="C10" s="10"/>
      <c r="D10" s="8"/>
      <c r="E10" s="1"/>
      <c r="F10" s="1"/>
      <c r="G10" s="5"/>
      <c r="H10" s="9"/>
      <c r="I10" s="5"/>
      <c r="J10" s="9"/>
    </row>
    <row r="11" spans="1:10" ht="15.6" x14ac:dyDescent="0.3">
      <c r="A11" s="6" t="s">
        <v>5</v>
      </c>
      <c r="B11" s="13">
        <v>251310.43</v>
      </c>
      <c r="C11" s="14"/>
      <c r="D11" s="8"/>
      <c r="E11" s="1"/>
      <c r="F11" s="1"/>
      <c r="H11" s="12"/>
    </row>
    <row r="12" spans="1:10" ht="15.6" x14ac:dyDescent="0.3">
      <c r="A12" s="15" t="s">
        <v>9</v>
      </c>
      <c r="B12" s="7"/>
      <c r="C12" s="7">
        <f>SUM(B8:B11)</f>
        <v>2147252.9300000002</v>
      </c>
      <c r="D12" s="8"/>
      <c r="E12" s="1"/>
      <c r="F12" s="1"/>
      <c r="G12" s="5"/>
      <c r="H12" s="16"/>
      <c r="I12" s="17"/>
      <c r="J12" s="16"/>
    </row>
    <row r="13" spans="1:10" x14ac:dyDescent="0.25">
      <c r="A13" s="1"/>
      <c r="B13" s="7"/>
      <c r="C13" s="7"/>
      <c r="D13" s="8"/>
      <c r="E13" s="1"/>
      <c r="F13" s="1"/>
    </row>
    <row r="14" spans="1:10" ht="15.6" x14ac:dyDescent="0.3">
      <c r="A14" s="6" t="s">
        <v>10</v>
      </c>
      <c r="B14" s="18">
        <v>532924.23</v>
      </c>
      <c r="C14" s="7"/>
      <c r="D14" s="8"/>
      <c r="E14" s="1"/>
      <c r="F14" s="1"/>
      <c r="H14" s="12"/>
    </row>
    <row r="15" spans="1:10" ht="15.6" x14ac:dyDescent="0.3">
      <c r="A15" s="6" t="s">
        <v>11</v>
      </c>
      <c r="B15" s="7">
        <f>-B10+1370639.84</f>
        <v>594878.68000000017</v>
      </c>
      <c r="C15" s="10"/>
      <c r="D15" s="8"/>
      <c r="E15" s="1"/>
      <c r="F15" s="1"/>
      <c r="H15" s="12"/>
    </row>
    <row r="16" spans="1:10" ht="15.6" x14ac:dyDescent="0.3">
      <c r="A16" s="6" t="s">
        <v>12</v>
      </c>
      <c r="B16" s="7">
        <f>-B11+3108549.34</f>
        <v>2857238.9099999997</v>
      </c>
      <c r="C16" s="11"/>
      <c r="D16" s="8"/>
      <c r="E16" s="1"/>
      <c r="F16" s="1"/>
      <c r="H16" s="12"/>
    </row>
    <row r="17" spans="1:8" ht="15.6" x14ac:dyDescent="0.3">
      <c r="A17" s="6" t="s">
        <v>13</v>
      </c>
      <c r="B17" s="19">
        <f>2800+11052.36+5175.15+1665</f>
        <v>20692.510000000002</v>
      </c>
      <c r="C17" s="13"/>
      <c r="D17" s="8"/>
      <c r="E17" s="1"/>
      <c r="F17" s="1"/>
      <c r="H17" s="12"/>
    </row>
    <row r="18" spans="1:8" ht="15.6" x14ac:dyDescent="0.3">
      <c r="A18" s="6" t="s">
        <v>14</v>
      </c>
      <c r="B18" s="10"/>
      <c r="C18" s="10">
        <f>SUM(B14:B17)</f>
        <v>4005734.3299999996</v>
      </c>
      <c r="D18" s="8"/>
      <c r="E18" s="1"/>
      <c r="F18" s="1"/>
      <c r="H18" s="12"/>
    </row>
    <row r="19" spans="1:8" ht="6" customHeight="1" x14ac:dyDescent="0.3">
      <c r="A19" s="6"/>
      <c r="B19" s="10"/>
      <c r="C19" s="10"/>
      <c r="D19" s="8"/>
      <c r="E19" s="1"/>
      <c r="F19" s="1"/>
      <c r="H19" s="12"/>
    </row>
    <row r="20" spans="1:8" ht="15.6" x14ac:dyDescent="0.3">
      <c r="A20" s="6" t="s">
        <v>15</v>
      </c>
      <c r="B20" s="7"/>
      <c r="C20" s="20">
        <f>C12+C18</f>
        <v>6152987.2599999998</v>
      </c>
      <c r="D20" s="8"/>
      <c r="E20" s="1"/>
      <c r="F20" s="1"/>
      <c r="H20" s="12"/>
    </row>
    <row r="21" spans="1:8" ht="6" customHeight="1" x14ac:dyDescent="0.25">
      <c r="A21" s="1"/>
      <c r="B21" s="7"/>
      <c r="C21" s="7"/>
      <c r="D21" s="8"/>
      <c r="E21" s="1"/>
      <c r="F21" s="1"/>
    </row>
    <row r="22" spans="1:8" ht="15.6" x14ac:dyDescent="0.3">
      <c r="A22" s="6" t="s">
        <v>16</v>
      </c>
      <c r="B22" s="7"/>
      <c r="C22" s="10">
        <v>0</v>
      </c>
      <c r="D22" s="21"/>
      <c r="E22" s="1"/>
      <c r="F22" s="1"/>
      <c r="H22" s="22"/>
    </row>
    <row r="23" spans="1:8" ht="6" customHeight="1" x14ac:dyDescent="0.3">
      <c r="A23" s="6"/>
      <c r="B23" s="10"/>
      <c r="C23" s="10"/>
      <c r="D23" s="21"/>
      <c r="E23" s="1"/>
      <c r="F23" s="1"/>
      <c r="H23" s="22"/>
    </row>
    <row r="24" spans="1:8" ht="16.2" thickBot="1" x14ac:dyDescent="0.35">
      <c r="A24" s="6" t="s">
        <v>17</v>
      </c>
      <c r="B24" s="7"/>
      <c r="C24" s="23">
        <f>C12+B26</f>
        <v>6152987.2599999998</v>
      </c>
      <c r="E24" s="1"/>
      <c r="F24" s="1"/>
      <c r="H24" s="22"/>
    </row>
    <row r="25" spans="1:8" ht="15.6" thickTop="1" x14ac:dyDescent="0.25">
      <c r="A25" s="1"/>
      <c r="B25" s="1"/>
      <c r="C25" s="1"/>
      <c r="D25" s="1"/>
      <c r="E25" s="1"/>
      <c r="F25" s="1"/>
    </row>
    <row r="26" spans="1:8" ht="16.2" thickBot="1" x14ac:dyDescent="0.35">
      <c r="A26" s="24" t="s">
        <v>18</v>
      </c>
      <c r="B26" s="25">
        <f>C18+C22</f>
        <v>4005734.3299999996</v>
      </c>
      <c r="C26" s="26"/>
      <c r="D26" s="27"/>
      <c r="E26" s="26"/>
      <c r="F26" s="26"/>
    </row>
    <row r="27" spans="1:8" ht="16.2" thickTop="1" x14ac:dyDescent="0.3">
      <c r="A27" s="24"/>
      <c r="B27" s="10"/>
      <c r="C27" s="26"/>
      <c r="D27" s="27"/>
      <c r="E27" s="26"/>
      <c r="F27" s="26"/>
    </row>
    <row r="28" spans="1:8" ht="5.25" customHeight="1" x14ac:dyDescent="0.3">
      <c r="A28" s="24"/>
      <c r="B28" s="10"/>
      <c r="C28" s="26"/>
      <c r="D28" s="27"/>
      <c r="E28" s="26"/>
      <c r="F28" s="26"/>
    </row>
    <row r="29" spans="1:8" ht="15.6" x14ac:dyDescent="0.3">
      <c r="A29" s="28" t="s">
        <v>154</v>
      </c>
      <c r="B29" s="1"/>
      <c r="C29" s="1"/>
      <c r="D29" s="1"/>
      <c r="E29" s="1"/>
      <c r="F29" s="1"/>
    </row>
    <row r="30" spans="1:8" ht="15.6" x14ac:dyDescent="0.3">
      <c r="A30" s="29" t="s">
        <v>155</v>
      </c>
      <c r="B30" s="1"/>
      <c r="C30" s="1"/>
      <c r="D30" s="1"/>
      <c r="E30" s="1"/>
      <c r="F30" s="1"/>
    </row>
    <row r="31" spans="1:8" ht="15.6" x14ac:dyDescent="0.3">
      <c r="A31" s="6" t="s">
        <v>156</v>
      </c>
      <c r="B31" s="1"/>
      <c r="C31" s="1"/>
      <c r="D31" s="1"/>
      <c r="E31" s="1"/>
      <c r="F31" s="1"/>
    </row>
    <row r="32" spans="1:8" x14ac:dyDescent="0.25">
      <c r="A32" s="1"/>
      <c r="B32" s="1"/>
      <c r="C32" s="1"/>
      <c r="D32" s="1"/>
      <c r="E32" s="1"/>
      <c r="F32" s="1"/>
    </row>
    <row r="33" spans="1:6" ht="15.6" x14ac:dyDescent="0.3">
      <c r="A33" s="6" t="s">
        <v>22</v>
      </c>
      <c r="B33" s="1"/>
      <c r="C33" s="1"/>
      <c r="D33" s="1"/>
      <c r="E33" s="1"/>
      <c r="F33" s="1"/>
    </row>
    <row r="34" spans="1:6" ht="15.6" x14ac:dyDescent="0.3">
      <c r="A34" s="6" t="s">
        <v>23</v>
      </c>
      <c r="B34" s="7">
        <v>66645.75</v>
      </c>
      <c r="C34" s="10"/>
      <c r="D34" s="1"/>
      <c r="E34" s="1"/>
      <c r="F34" s="1"/>
    </row>
    <row r="35" spans="1:6" ht="15.6" x14ac:dyDescent="0.3">
      <c r="A35" s="6" t="s">
        <v>25</v>
      </c>
      <c r="B35" s="7">
        <v>2088</v>
      </c>
      <c r="C35" s="10"/>
      <c r="D35" s="1"/>
      <c r="E35" s="1"/>
      <c r="F35" s="1"/>
    </row>
    <row r="36" spans="1:6" ht="15.6" x14ac:dyDescent="0.3">
      <c r="A36" s="6" t="s">
        <v>26</v>
      </c>
      <c r="B36" s="7">
        <f>924.75</f>
        <v>924.75</v>
      </c>
      <c r="C36" s="10"/>
      <c r="D36" s="1"/>
      <c r="E36" s="1"/>
      <c r="F36" s="1"/>
    </row>
    <row r="37" spans="1:6" ht="15.6" hidden="1" x14ac:dyDescent="0.3">
      <c r="A37" s="6" t="s">
        <v>27</v>
      </c>
      <c r="B37" s="7"/>
      <c r="C37" s="10"/>
      <c r="D37" s="1"/>
      <c r="E37" s="1"/>
      <c r="F37" s="1"/>
    </row>
    <row r="38" spans="1:6" ht="15.6" thickBot="1" x14ac:dyDescent="0.3">
      <c r="A38" s="1"/>
      <c r="B38" s="30">
        <f>SUM(B34:B37)</f>
        <v>69658.5</v>
      </c>
      <c r="C38" s="31"/>
      <c r="D38" s="1"/>
      <c r="E38" s="1"/>
      <c r="F38" s="1"/>
    </row>
    <row r="39" spans="1:6" ht="15.6" thickTop="1" x14ac:dyDescent="0.25">
      <c r="A39" s="1"/>
      <c r="B39" s="1"/>
      <c r="C39" s="32"/>
      <c r="D39" s="1"/>
      <c r="E39" s="1"/>
      <c r="F39" s="1"/>
    </row>
  </sheetData>
  <mergeCells count="3">
    <mergeCell ref="A1:D1"/>
    <mergeCell ref="A2:D2"/>
    <mergeCell ref="A3:D3"/>
  </mergeCells>
  <pageMargins left="0.45" right="0.2" top="0.75" bottom="0.75" header="0.3" footer="0.3"/>
  <pageSetup scale="82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D29"/>
  <sheetViews>
    <sheetView workbookViewId="0">
      <selection activeCell="B15" sqref="B15"/>
    </sheetView>
  </sheetViews>
  <sheetFormatPr defaultRowHeight="14.4" x14ac:dyDescent="0.3"/>
  <cols>
    <col min="1" max="1" width="24.33203125" customWidth="1"/>
    <col min="2" max="2" width="14.6640625" bestFit="1" customWidth="1"/>
    <col min="6" max="6" width="11.88671875" customWidth="1"/>
  </cols>
  <sheetData>
    <row r="1" spans="1:4" x14ac:dyDescent="0.3">
      <c r="A1" s="33" t="s">
        <v>157</v>
      </c>
    </row>
    <row r="2" spans="1:4" x14ac:dyDescent="0.3">
      <c r="A2" t="s">
        <v>29</v>
      </c>
      <c r="B2" s="34">
        <v>3728446.66</v>
      </c>
    </row>
    <row r="3" spans="1:4" x14ac:dyDescent="0.3">
      <c r="A3" t="s">
        <v>30</v>
      </c>
      <c r="B3" s="35">
        <v>0</v>
      </c>
    </row>
    <row r="4" spans="1:4" x14ac:dyDescent="0.3">
      <c r="A4" t="s">
        <v>31</v>
      </c>
      <c r="B4" s="34">
        <v>687468.99</v>
      </c>
    </row>
    <row r="5" spans="1:4" x14ac:dyDescent="0.3">
      <c r="A5" t="s">
        <v>32</v>
      </c>
      <c r="B5" s="34">
        <v>-576068.26</v>
      </c>
      <c r="D5" s="35"/>
    </row>
    <row r="6" spans="1:4" x14ac:dyDescent="0.3">
      <c r="A6" t="s">
        <v>33</v>
      </c>
      <c r="B6" s="34">
        <v>295660.03000000003</v>
      </c>
      <c r="C6" t="s">
        <v>34</v>
      </c>
    </row>
    <row r="7" spans="1:4" x14ac:dyDescent="0.3">
      <c r="A7" t="s">
        <v>35</v>
      </c>
      <c r="B7" s="34">
        <f>-23596.13+-B20</f>
        <v>-4961.510000000002</v>
      </c>
    </row>
    <row r="8" spans="1:4" x14ac:dyDescent="0.3">
      <c r="A8" t="s">
        <v>36</v>
      </c>
      <c r="B8" s="36">
        <v>224746.95</v>
      </c>
      <c r="C8" t="s">
        <v>37</v>
      </c>
    </row>
    <row r="9" spans="1:4" x14ac:dyDescent="0.3">
      <c r="A9" t="s">
        <v>38</v>
      </c>
      <c r="B9" s="34">
        <v>-350480.52</v>
      </c>
    </row>
    <row r="10" spans="1:4" x14ac:dyDescent="0.3">
      <c r="A10" t="s">
        <v>39</v>
      </c>
      <c r="B10" s="34">
        <v>921.98</v>
      </c>
    </row>
    <row r="11" spans="1:4" x14ac:dyDescent="0.3">
      <c r="A11" t="s">
        <v>40</v>
      </c>
      <c r="B11" s="34">
        <v>0</v>
      </c>
      <c r="C11" t="s">
        <v>152</v>
      </c>
    </row>
    <row r="12" spans="1:4" x14ac:dyDescent="0.3">
      <c r="A12" t="s">
        <v>16</v>
      </c>
      <c r="B12" s="34">
        <v>0</v>
      </c>
    </row>
    <row r="13" spans="1:4" x14ac:dyDescent="0.3">
      <c r="A13" t="s">
        <v>42</v>
      </c>
      <c r="B13" s="34">
        <f>-B25</f>
        <v>0</v>
      </c>
    </row>
    <row r="14" spans="1:4" x14ac:dyDescent="0.3">
      <c r="A14" t="s">
        <v>43</v>
      </c>
      <c r="B14" s="37">
        <f>SUM(B2:B13)</f>
        <v>4005734.3200000012</v>
      </c>
    </row>
    <row r="15" spans="1:4" x14ac:dyDescent="0.3">
      <c r="A15" t="s">
        <v>44</v>
      </c>
      <c r="B15" s="34">
        <v>-4005734.33</v>
      </c>
    </row>
    <row r="16" spans="1:4" ht="15" thickBot="1" x14ac:dyDescent="0.35">
      <c r="A16" t="s">
        <v>45</v>
      </c>
      <c r="B16" s="38">
        <f>SUM(B14:B15)</f>
        <v>-9.9999988451600075E-3</v>
      </c>
    </row>
    <row r="17" spans="1:3" ht="15" thickTop="1" x14ac:dyDescent="0.3">
      <c r="B17" s="39"/>
    </row>
    <row r="18" spans="1:3" x14ac:dyDescent="0.3">
      <c r="A18" t="s">
        <v>29</v>
      </c>
      <c r="B18" s="35">
        <v>2079567.32</v>
      </c>
    </row>
    <row r="19" spans="1:3" x14ac:dyDescent="0.3">
      <c r="A19" t="s">
        <v>30</v>
      </c>
      <c r="B19" s="34"/>
    </row>
    <row r="20" spans="1:3" x14ac:dyDescent="0.3">
      <c r="A20" t="s">
        <v>46</v>
      </c>
      <c r="B20" s="34">
        <v>-18634.62</v>
      </c>
      <c r="C20" t="s">
        <v>47</v>
      </c>
    </row>
    <row r="21" spans="1:3" x14ac:dyDescent="0.3">
      <c r="A21" t="s">
        <v>33</v>
      </c>
      <c r="B21" s="34"/>
    </row>
    <row r="22" spans="1:3" x14ac:dyDescent="0.3">
      <c r="A22" t="s">
        <v>39</v>
      </c>
      <c r="B22" s="34">
        <v>81.11</v>
      </c>
    </row>
    <row r="23" spans="1:3" x14ac:dyDescent="0.3">
      <c r="A23" t="s">
        <v>40</v>
      </c>
      <c r="B23" s="34">
        <v>0</v>
      </c>
    </row>
    <row r="24" spans="1:3" x14ac:dyDescent="0.3">
      <c r="A24" t="s">
        <v>48</v>
      </c>
      <c r="B24" s="34">
        <v>86239.13</v>
      </c>
    </row>
    <row r="25" spans="1:3" x14ac:dyDescent="0.3">
      <c r="A25" t="s">
        <v>42</v>
      </c>
      <c r="B25" s="34"/>
    </row>
    <row r="26" spans="1:3" x14ac:dyDescent="0.3">
      <c r="A26" t="s">
        <v>51</v>
      </c>
      <c r="B26" s="40">
        <f>SUM(B18:B25)</f>
        <v>2147252.94</v>
      </c>
    </row>
    <row r="27" spans="1:3" x14ac:dyDescent="0.3">
      <c r="A27" t="s">
        <v>52</v>
      </c>
      <c r="B27" s="35">
        <v>-2147252.9300000002</v>
      </c>
    </row>
    <row r="28" spans="1:3" ht="15" thickBot="1" x14ac:dyDescent="0.35">
      <c r="A28" t="s">
        <v>45</v>
      </c>
      <c r="B28" s="41">
        <f>SUM(B26:B27)</f>
        <v>9.9999997764825821E-3</v>
      </c>
    </row>
    <row r="29" spans="1:3" ht="15" thickTop="1" x14ac:dyDescent="0.3"/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transitionEvaluation="1" transitionEntry="1">
    <pageSetUpPr fitToPage="1"/>
  </sheetPr>
  <dimension ref="A1:H38"/>
  <sheetViews>
    <sheetView workbookViewId="0">
      <selection activeCell="A5" sqref="A5"/>
    </sheetView>
  </sheetViews>
  <sheetFormatPr defaultColWidth="9.109375" defaultRowHeight="13.2" x14ac:dyDescent="0.25"/>
  <cols>
    <col min="1" max="1" width="13.5546875" style="66" customWidth="1"/>
    <col min="2" max="2" width="14" style="66" bestFit="1" customWidth="1"/>
    <col min="3" max="3" width="2" style="66" customWidth="1"/>
    <col min="4" max="4" width="10.109375" style="66" customWidth="1"/>
    <col min="5" max="5" width="13.33203125" style="66" bestFit="1" customWidth="1"/>
    <col min="6" max="6" width="15.109375" style="66" customWidth="1"/>
    <col min="7" max="7" width="14.6640625" style="66" customWidth="1"/>
    <col min="8" max="8" width="14.5546875" style="66" bestFit="1" customWidth="1"/>
    <col min="9" max="9" width="18.44140625" style="66" customWidth="1"/>
    <col min="10" max="16384" width="9.109375" style="66"/>
  </cols>
  <sheetData>
    <row r="1" spans="1:8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8" x14ac:dyDescent="0.25">
      <c r="A2" s="97" t="s">
        <v>172</v>
      </c>
      <c r="B2" s="97"/>
      <c r="C2" s="97"/>
      <c r="D2" s="97"/>
      <c r="E2" s="97"/>
      <c r="F2" s="97"/>
      <c r="G2" s="97"/>
      <c r="H2" s="97"/>
    </row>
    <row r="3" spans="1:8" x14ac:dyDescent="0.25">
      <c r="A3" s="97" t="s">
        <v>173</v>
      </c>
      <c r="B3" s="97"/>
      <c r="C3" s="97"/>
      <c r="D3" s="97"/>
      <c r="E3" s="97"/>
      <c r="F3" s="97"/>
      <c r="G3" s="97"/>
      <c r="H3" s="97"/>
    </row>
    <row r="4" spans="1:8" x14ac:dyDescent="0.25">
      <c r="A4" s="97" t="s">
        <v>196</v>
      </c>
      <c r="B4" s="97"/>
      <c r="C4" s="97"/>
      <c r="D4" s="97"/>
      <c r="E4" s="97"/>
      <c r="F4" s="97"/>
      <c r="G4" s="97"/>
      <c r="H4" s="97"/>
    </row>
    <row r="5" spans="1:8" x14ac:dyDescent="0.25">
      <c r="A5" s="67"/>
      <c r="B5" s="67"/>
      <c r="C5" s="67"/>
      <c r="D5" s="67"/>
      <c r="E5" s="67"/>
      <c r="F5" s="67"/>
      <c r="G5" s="67"/>
      <c r="H5" s="67"/>
    </row>
    <row r="6" spans="1:8" x14ac:dyDescent="0.25">
      <c r="A6" s="67"/>
      <c r="B6" s="67"/>
      <c r="C6" s="67"/>
      <c r="D6" s="67"/>
      <c r="E6" s="67"/>
      <c r="F6" s="67"/>
      <c r="G6" s="67"/>
      <c r="H6" s="67"/>
    </row>
    <row r="7" spans="1:8" x14ac:dyDescent="0.25">
      <c r="A7" s="67"/>
      <c r="B7" s="67"/>
      <c r="C7" s="67"/>
      <c r="D7" s="67"/>
      <c r="E7" s="67"/>
      <c r="F7" s="67"/>
      <c r="G7" s="67"/>
      <c r="H7" s="67"/>
    </row>
    <row r="8" spans="1:8" x14ac:dyDescent="0.25">
      <c r="A8" s="68" t="s">
        <v>174</v>
      </c>
      <c r="B8" s="67"/>
      <c r="C8" s="67"/>
      <c r="D8" s="67"/>
      <c r="E8" s="67"/>
      <c r="F8" s="67"/>
      <c r="G8" s="69">
        <v>3108549.34</v>
      </c>
      <c r="H8" s="67"/>
    </row>
    <row r="9" spans="1:8" x14ac:dyDescent="0.25">
      <c r="A9" s="67"/>
      <c r="B9" s="67"/>
      <c r="C9" s="67"/>
      <c r="D9" s="67"/>
      <c r="E9" s="67"/>
      <c r="F9" s="67"/>
      <c r="G9" s="67"/>
      <c r="H9" s="67"/>
    </row>
    <row r="10" spans="1:8" x14ac:dyDescent="0.25">
      <c r="A10" s="68" t="s">
        <v>175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/>
      <c r="B11" s="69"/>
      <c r="C11" s="67"/>
      <c r="D11" s="67"/>
      <c r="E11" s="67"/>
      <c r="F11" s="67"/>
      <c r="G11" s="71"/>
      <c r="H11" s="67"/>
    </row>
    <row r="12" spans="1:8" x14ac:dyDescent="0.25">
      <c r="A12" s="67"/>
      <c r="B12" s="67"/>
      <c r="C12" s="67"/>
      <c r="D12" s="67"/>
      <c r="E12" s="67"/>
      <c r="F12" s="67"/>
      <c r="G12" s="67"/>
      <c r="H12" s="67"/>
    </row>
    <row r="13" spans="1:8" x14ac:dyDescent="0.25">
      <c r="A13" s="67"/>
      <c r="B13" s="67"/>
      <c r="C13" s="67"/>
      <c r="D13" s="67"/>
      <c r="E13" s="67"/>
      <c r="F13" s="67"/>
      <c r="G13" s="67"/>
      <c r="H13" s="67"/>
    </row>
    <row r="14" spans="1:8" x14ac:dyDescent="0.25">
      <c r="A14" s="68" t="s">
        <v>176</v>
      </c>
      <c r="B14" s="67"/>
      <c r="C14" s="67"/>
      <c r="D14" s="67"/>
      <c r="E14" s="67"/>
      <c r="F14" s="67"/>
      <c r="G14" s="67"/>
      <c r="H14" s="67"/>
    </row>
    <row r="15" spans="1:8" x14ac:dyDescent="0.25">
      <c r="A15" s="70"/>
      <c r="B15" s="72"/>
      <c r="C15" s="67"/>
      <c r="D15" s="67"/>
      <c r="E15" s="69"/>
      <c r="F15" s="67"/>
      <c r="G15" s="67"/>
      <c r="H15" s="67"/>
    </row>
    <row r="16" spans="1:8" x14ac:dyDescent="0.25">
      <c r="A16" s="67"/>
      <c r="B16" s="72"/>
      <c r="C16" s="67"/>
      <c r="D16" s="67"/>
      <c r="E16" s="69"/>
      <c r="F16" s="67"/>
      <c r="G16" s="67"/>
      <c r="H16" s="67"/>
    </row>
    <row r="17" spans="1:8" x14ac:dyDescent="0.25">
      <c r="A17" s="73"/>
      <c r="B17" s="72"/>
      <c r="C17" s="73"/>
      <c r="D17" s="73"/>
      <c r="E17" s="69"/>
      <c r="F17" s="73"/>
      <c r="G17" s="73"/>
      <c r="H17" s="73"/>
    </row>
    <row r="18" spans="1:8" x14ac:dyDescent="0.25">
      <c r="A18" s="91"/>
      <c r="B18" s="72"/>
      <c r="C18" s="73"/>
      <c r="D18" s="73"/>
      <c r="E18" s="69"/>
      <c r="F18" s="73"/>
      <c r="G18" s="74"/>
      <c r="H18" s="73"/>
    </row>
    <row r="19" spans="1:8" x14ac:dyDescent="0.25">
      <c r="A19" s="73"/>
      <c r="B19" s="72"/>
      <c r="C19" s="73"/>
      <c r="D19" s="73"/>
      <c r="E19" s="73"/>
      <c r="F19" s="73"/>
      <c r="G19" s="73"/>
      <c r="H19" s="73"/>
    </row>
    <row r="20" spans="1:8" ht="13.8" thickBot="1" x14ac:dyDescent="0.3">
      <c r="A20" s="75" t="s">
        <v>177</v>
      </c>
      <c r="B20" s="72"/>
      <c r="C20" s="73"/>
      <c r="D20" s="73"/>
      <c r="E20" s="73"/>
      <c r="F20" s="73"/>
      <c r="G20" s="76">
        <f>SUM(G8:G19)</f>
        <v>3108549.34</v>
      </c>
      <c r="H20" s="73"/>
    </row>
    <row r="21" spans="1:8" ht="13.8" thickTop="1" x14ac:dyDescent="0.25">
      <c r="A21" s="73"/>
      <c r="B21" s="69"/>
      <c r="C21" s="73"/>
      <c r="D21" s="73"/>
      <c r="E21" s="73"/>
      <c r="F21" s="73"/>
      <c r="G21" s="73"/>
      <c r="H21" s="73"/>
    </row>
    <row r="22" spans="1:8" x14ac:dyDescent="0.25">
      <c r="A22" s="75" t="s">
        <v>178</v>
      </c>
      <c r="B22" s="69"/>
      <c r="C22" s="73"/>
      <c r="D22" s="73"/>
      <c r="E22" s="73"/>
      <c r="F22" s="73"/>
      <c r="G22" s="69">
        <v>3108549.34</v>
      </c>
      <c r="H22" s="73"/>
    </row>
    <row r="23" spans="1:8" x14ac:dyDescent="0.25">
      <c r="A23" s="75" t="s">
        <v>179</v>
      </c>
      <c r="B23" s="73"/>
      <c r="C23" s="73"/>
      <c r="D23" s="73"/>
      <c r="E23" s="73"/>
      <c r="F23" s="73"/>
      <c r="G23" s="69"/>
      <c r="H23" s="73"/>
    </row>
    <row r="24" spans="1:8" x14ac:dyDescent="0.25">
      <c r="A24" s="73"/>
      <c r="B24" s="73"/>
      <c r="C24" s="73"/>
      <c r="D24" s="73"/>
      <c r="E24" s="73"/>
      <c r="F24" s="73"/>
      <c r="G24" s="73"/>
      <c r="H24" s="73"/>
    </row>
    <row r="25" spans="1:8" x14ac:dyDescent="0.25">
      <c r="A25" s="73"/>
      <c r="B25" s="73"/>
      <c r="C25" s="73"/>
      <c r="D25" s="73"/>
      <c r="E25" s="73"/>
      <c r="F25" s="73"/>
      <c r="G25" s="73"/>
      <c r="H25" s="73"/>
    </row>
    <row r="26" spans="1:8" ht="13.8" thickBot="1" x14ac:dyDescent="0.3">
      <c r="A26" s="75" t="s">
        <v>180</v>
      </c>
      <c r="B26" s="73"/>
      <c r="C26" s="73"/>
      <c r="D26" s="73"/>
      <c r="E26" s="73"/>
      <c r="F26" s="73"/>
      <c r="G26" s="77">
        <f>SUM(G22:G25)</f>
        <v>3108549.34</v>
      </c>
      <c r="H26" s="73"/>
    </row>
    <row r="27" spans="1:8" ht="15" thickTop="1" x14ac:dyDescent="0.3">
      <c r="A27" s="73"/>
      <c r="B27" s="73"/>
      <c r="C27" s="73"/>
      <c r="D27" s="73"/>
      <c r="E27" s="73"/>
      <c r="F27" s="73"/>
      <c r="G27" s="78"/>
      <c r="H27" s="73"/>
    </row>
    <row r="28" spans="1:8" x14ac:dyDescent="0.25">
      <c r="A28" s="75" t="s">
        <v>181</v>
      </c>
      <c r="B28" s="73"/>
      <c r="C28" s="73"/>
      <c r="D28" s="73"/>
      <c r="E28" s="73"/>
      <c r="F28" s="73"/>
      <c r="G28" s="79">
        <f>G20-G26</f>
        <v>0</v>
      </c>
      <c r="H28" s="73"/>
    </row>
    <row r="29" spans="1:8" x14ac:dyDescent="0.25">
      <c r="A29" s="73"/>
      <c r="B29" s="73"/>
      <c r="C29" s="73"/>
      <c r="D29" s="73"/>
      <c r="E29" s="73"/>
      <c r="F29" s="73"/>
      <c r="G29" s="73"/>
      <c r="H29" s="73"/>
    </row>
    <row r="30" spans="1:8" ht="11.25" customHeight="1" x14ac:dyDescent="0.25">
      <c r="A30" s="73"/>
      <c r="B30" s="73"/>
      <c r="C30" s="73"/>
      <c r="D30" s="73"/>
      <c r="E30" s="73"/>
      <c r="F30" s="73"/>
      <c r="G30" s="73"/>
      <c r="H30" s="73"/>
    </row>
    <row r="31" spans="1:8" x14ac:dyDescent="0.25">
      <c r="A31" s="80" t="s">
        <v>182</v>
      </c>
      <c r="B31" s="80"/>
      <c r="C31" s="80"/>
      <c r="D31" s="92"/>
      <c r="E31" s="80"/>
      <c r="F31" s="80"/>
      <c r="G31" s="80"/>
      <c r="H31" s="80"/>
    </row>
    <row r="32" spans="1:8" ht="14.4" x14ac:dyDescent="0.3">
      <c r="A32" s="80" t="s">
        <v>183</v>
      </c>
      <c r="B32" s="81">
        <f>1309150.73+1233.19+473.08+440.82+409.62+423.41+444.39+423.69+437.5-300000+297.5+327.22</f>
        <v>1014061.1499999999</v>
      </c>
      <c r="C32" s="80"/>
      <c r="D32" s="82">
        <f>B32/B34</f>
        <v>0.32621689377665714</v>
      </c>
      <c r="E32" s="69">
        <f>D32*0</f>
        <v>0</v>
      </c>
      <c r="F32" s="80"/>
      <c r="G32" s="80"/>
      <c r="H32" s="80"/>
    </row>
    <row r="33" spans="1:8" ht="14.4" x14ac:dyDescent="0.3">
      <c r="A33" s="80" t="s">
        <v>145</v>
      </c>
      <c r="B33" s="81">
        <f>2587505.7+161.1+934.2+870.69+668.14+140.75+836.11-500000+708.21+675.22+697.23+614.48+675.87</f>
        <v>2094487.7000000004</v>
      </c>
      <c r="C33" s="80" t="s">
        <v>184</v>
      </c>
      <c r="D33" s="82">
        <f>B33/B34</f>
        <v>0.67378310622334281</v>
      </c>
      <c r="E33" s="69">
        <f>-E32+0</f>
        <v>0</v>
      </c>
      <c r="F33" s="83" t="s">
        <v>189</v>
      </c>
      <c r="G33" s="84">
        <f>E33*0.88</f>
        <v>0</v>
      </c>
      <c r="H33" s="80"/>
    </row>
    <row r="34" spans="1:8" ht="15" thickBot="1" x14ac:dyDescent="0.35">
      <c r="A34" s="80"/>
      <c r="B34" s="85">
        <f>SUM(B32:B33)</f>
        <v>3108548.8500000006</v>
      </c>
      <c r="C34" s="80"/>
      <c r="D34" s="86">
        <f>SUM(D32:D33)</f>
        <v>1</v>
      </c>
      <c r="E34" s="87"/>
      <c r="F34" s="83" t="s">
        <v>190</v>
      </c>
      <c r="G34" s="84">
        <f>E33*0.12</f>
        <v>0</v>
      </c>
      <c r="H34" s="80"/>
    </row>
    <row r="35" spans="1:8" ht="13.8" thickTop="1" x14ac:dyDescent="0.25">
      <c r="A35" s="80"/>
      <c r="B35" s="80"/>
      <c r="C35" s="80"/>
      <c r="D35" s="80"/>
      <c r="E35" s="80"/>
      <c r="F35" s="88"/>
      <c r="G35" s="80"/>
      <c r="H35" s="80"/>
    </row>
    <row r="36" spans="1:8" x14ac:dyDescent="0.25">
      <c r="A36" s="83" t="s">
        <v>187</v>
      </c>
      <c r="B36" s="80"/>
      <c r="C36" s="80"/>
      <c r="D36" s="80"/>
      <c r="E36" s="80"/>
      <c r="F36" s="80"/>
      <c r="G36" s="80"/>
      <c r="H36" s="80"/>
    </row>
    <row r="38" spans="1:8" ht="14.4" x14ac:dyDescent="0.3">
      <c r="A38" s="89">
        <f>450581.43+140.75+145.48-200000+123.23+81.03+83.67+73.74+81.1</f>
        <v>251310.43</v>
      </c>
      <c r="B38" s="90">
        <f>A38/B33</f>
        <v>0.11998658669611664</v>
      </c>
    </row>
  </sheetData>
  <mergeCells count="4">
    <mergeCell ref="A1:H1"/>
    <mergeCell ref="A2:H2"/>
    <mergeCell ref="A3:H3"/>
    <mergeCell ref="A4:H4"/>
  </mergeCells>
  <pageMargins left="0.54" right="0.45" top="0.52" bottom="0.48" header="0.37" footer="0.22"/>
  <pageSetup fitToHeight="2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J39"/>
  <sheetViews>
    <sheetView zoomScaleNormal="100" workbookViewId="0">
      <selection activeCell="B10" sqref="B10"/>
    </sheetView>
  </sheetViews>
  <sheetFormatPr defaultColWidth="9.109375" defaultRowHeight="15" x14ac:dyDescent="0.25"/>
  <cols>
    <col min="1" max="1" width="49.44140625" style="2" bestFit="1" customWidth="1"/>
    <col min="2" max="4" width="19.109375" style="2" customWidth="1"/>
    <col min="5" max="5" width="5.88671875" style="2" customWidth="1"/>
    <col min="6" max="7" width="9.109375" style="2"/>
    <col min="8" max="8" width="15.6640625" style="2" customWidth="1"/>
    <col min="9" max="9" width="3.5546875" style="2" customWidth="1"/>
    <col min="10" max="10" width="15.109375" style="2" bestFit="1" customWidth="1"/>
    <col min="11" max="16384" width="9.109375" style="2"/>
  </cols>
  <sheetData>
    <row r="1" spans="1:10" ht="15.6" x14ac:dyDescent="0.3">
      <c r="A1" s="96" t="s">
        <v>0</v>
      </c>
      <c r="B1" s="96"/>
      <c r="C1" s="96"/>
      <c r="D1" s="96"/>
      <c r="E1" s="1"/>
      <c r="F1" s="1"/>
    </row>
    <row r="2" spans="1:10" ht="15.6" x14ac:dyDescent="0.3">
      <c r="A2" s="96" t="s">
        <v>1</v>
      </c>
      <c r="B2" s="96"/>
      <c r="C2" s="96"/>
      <c r="D2" s="96"/>
      <c r="E2" s="1"/>
      <c r="F2" s="1"/>
    </row>
    <row r="3" spans="1:10" ht="15.6" x14ac:dyDescent="0.3">
      <c r="A3" s="96" t="s">
        <v>158</v>
      </c>
      <c r="B3" s="96"/>
      <c r="C3" s="96"/>
      <c r="D3" s="96"/>
      <c r="E3" s="1"/>
      <c r="F3" s="1"/>
    </row>
    <row r="4" spans="1:10" ht="15.6" x14ac:dyDescent="0.3">
      <c r="A4" s="60"/>
      <c r="B4" s="60"/>
      <c r="C4" s="60"/>
      <c r="D4" s="60"/>
      <c r="E4" s="1"/>
      <c r="F4" s="1"/>
    </row>
    <row r="5" spans="1:10" ht="15.6" x14ac:dyDescent="0.3">
      <c r="A5" s="60"/>
      <c r="B5" s="60"/>
      <c r="C5" s="60"/>
      <c r="D5" s="60"/>
      <c r="E5" s="1"/>
      <c r="F5" s="1"/>
    </row>
    <row r="6" spans="1:10" x14ac:dyDescent="0.25">
      <c r="A6" s="1"/>
      <c r="B6" s="1"/>
      <c r="C6" s="1"/>
      <c r="D6" s="4"/>
      <c r="E6" s="1"/>
      <c r="F6" s="1"/>
    </row>
    <row r="7" spans="1:10" x14ac:dyDescent="0.25">
      <c r="A7" s="1"/>
      <c r="B7" s="1"/>
      <c r="C7" s="1"/>
      <c r="D7" s="1"/>
      <c r="E7" s="1"/>
      <c r="F7" s="1"/>
      <c r="G7" s="5"/>
      <c r="H7" s="5"/>
      <c r="I7" s="5"/>
      <c r="J7" s="5"/>
    </row>
    <row r="8" spans="1:10" ht="15.6" x14ac:dyDescent="0.3">
      <c r="A8" s="6"/>
      <c r="B8" s="7"/>
      <c r="C8" s="7"/>
      <c r="D8" s="8"/>
      <c r="E8" s="1"/>
      <c r="F8" s="1"/>
      <c r="G8" s="5"/>
      <c r="H8" s="9"/>
      <c r="I8" s="5"/>
      <c r="J8" s="9"/>
    </row>
    <row r="9" spans="1:10" ht="15.6" x14ac:dyDescent="0.3">
      <c r="A9" s="6" t="s">
        <v>3</v>
      </c>
      <c r="B9" s="7">
        <v>1033942.21</v>
      </c>
      <c r="C9" s="7"/>
      <c r="D9" s="8"/>
      <c r="E9" s="1"/>
      <c r="F9" s="1"/>
      <c r="G9" s="5"/>
      <c r="H9" s="9"/>
      <c r="I9" s="5"/>
      <c r="J9" s="9"/>
    </row>
    <row r="10" spans="1:10" ht="15.6" x14ac:dyDescent="0.3">
      <c r="A10" s="6" t="s">
        <v>4</v>
      </c>
      <c r="B10" s="10">
        <f>637849.98-384731.45+666666.67-1348348.85+666666.66+200000-35939.45-256591.11+666666.67-17843.34</f>
        <v>794395.77999999991</v>
      </c>
      <c r="C10" s="10"/>
      <c r="D10" s="8"/>
      <c r="E10" s="1"/>
      <c r="F10" s="1"/>
      <c r="G10" s="5"/>
      <c r="H10" s="9"/>
      <c r="I10" s="5"/>
      <c r="J10" s="9"/>
    </row>
    <row r="11" spans="1:10" ht="15.6" x14ac:dyDescent="0.3">
      <c r="A11" s="6" t="s">
        <v>5</v>
      </c>
      <c r="B11" s="13">
        <v>251229.33</v>
      </c>
      <c r="C11" s="14"/>
      <c r="D11" s="8"/>
      <c r="E11" s="1"/>
      <c r="F11" s="1"/>
      <c r="H11" s="12"/>
    </row>
    <row r="12" spans="1:10" ht="15.6" x14ac:dyDescent="0.3">
      <c r="A12" s="15" t="s">
        <v>9</v>
      </c>
      <c r="B12" s="7"/>
      <c r="C12" s="7">
        <f>SUM(B8:B11)</f>
        <v>2079567.3199999998</v>
      </c>
      <c r="D12" s="8"/>
      <c r="E12" s="1"/>
      <c r="F12" s="1"/>
      <c r="G12" s="5"/>
      <c r="H12" s="16"/>
      <c r="I12" s="17"/>
      <c r="J12" s="16"/>
    </row>
    <row r="13" spans="1:10" x14ac:dyDescent="0.25">
      <c r="A13" s="1"/>
      <c r="B13" s="7"/>
      <c r="C13" s="7"/>
      <c r="D13" s="8"/>
      <c r="E13" s="1"/>
      <c r="F13" s="1"/>
    </row>
    <row r="14" spans="1:10" ht="15.6" x14ac:dyDescent="0.3">
      <c r="A14" s="6" t="s">
        <v>10</v>
      </c>
      <c r="B14" s="18">
        <v>421523.5</v>
      </c>
      <c r="C14" s="7"/>
      <c r="D14" s="8"/>
      <c r="E14" s="1"/>
      <c r="F14" s="1"/>
      <c r="H14" s="12"/>
    </row>
    <row r="15" spans="1:10" ht="15.6" x14ac:dyDescent="0.3">
      <c r="A15" s="6" t="s">
        <v>11</v>
      </c>
      <c r="B15" s="7">
        <f>-B10+1098575.94</f>
        <v>304180.16000000003</v>
      </c>
      <c r="C15" s="10"/>
      <c r="D15" s="8"/>
      <c r="E15" s="1"/>
      <c r="F15" s="1"/>
      <c r="H15" s="12"/>
    </row>
    <row r="16" spans="1:10" ht="15.6" x14ac:dyDescent="0.3">
      <c r="A16" s="6" t="s">
        <v>12</v>
      </c>
      <c r="B16" s="7">
        <f>-B11+3107546.25</f>
        <v>2856316.92</v>
      </c>
      <c r="C16" s="11"/>
      <c r="D16" s="8"/>
      <c r="E16" s="1"/>
      <c r="F16" s="1"/>
      <c r="H16" s="12"/>
    </row>
    <row r="17" spans="1:8" ht="15.6" x14ac:dyDescent="0.3">
      <c r="A17" s="6" t="s">
        <v>13</v>
      </c>
      <c r="B17" s="19">
        <f>2800+136785.93+5175.15+1665</f>
        <v>146426.07999999999</v>
      </c>
      <c r="C17" s="13"/>
      <c r="D17" s="8"/>
      <c r="E17" s="1"/>
      <c r="F17" s="1"/>
      <c r="H17" s="12"/>
    </row>
    <row r="18" spans="1:8" ht="15.6" x14ac:dyDescent="0.3">
      <c r="A18" s="6" t="s">
        <v>14</v>
      </c>
      <c r="B18" s="10"/>
      <c r="C18" s="10">
        <f>SUM(B14:B17)</f>
        <v>3728446.66</v>
      </c>
      <c r="D18" s="8"/>
      <c r="E18" s="1"/>
      <c r="F18" s="1"/>
      <c r="H18" s="12"/>
    </row>
    <row r="19" spans="1:8" ht="6" customHeight="1" x14ac:dyDescent="0.3">
      <c r="A19" s="6"/>
      <c r="B19" s="10"/>
      <c r="C19" s="10"/>
      <c r="D19" s="8"/>
      <c r="E19" s="1"/>
      <c r="F19" s="1"/>
      <c r="H19" s="12"/>
    </row>
    <row r="20" spans="1:8" ht="15.6" x14ac:dyDescent="0.3">
      <c r="A20" s="6" t="s">
        <v>15</v>
      </c>
      <c r="B20" s="7"/>
      <c r="C20" s="20">
        <f>C12+C18</f>
        <v>5808013.9800000004</v>
      </c>
      <c r="D20" s="8"/>
      <c r="E20" s="1"/>
      <c r="F20" s="1"/>
      <c r="H20" s="12"/>
    </row>
    <row r="21" spans="1:8" ht="6" customHeight="1" x14ac:dyDescent="0.25">
      <c r="A21" s="1"/>
      <c r="B21" s="7"/>
      <c r="C21" s="7"/>
      <c r="D21" s="8"/>
      <c r="E21" s="1"/>
      <c r="F21" s="1"/>
    </row>
    <row r="22" spans="1:8" ht="15.6" x14ac:dyDescent="0.3">
      <c r="A22" s="6" t="s">
        <v>16</v>
      </c>
      <c r="B22" s="7"/>
      <c r="C22" s="10">
        <v>0</v>
      </c>
      <c r="D22" s="21"/>
      <c r="E22" s="1"/>
      <c r="F22" s="1"/>
      <c r="H22" s="22"/>
    </row>
    <row r="23" spans="1:8" ht="6" customHeight="1" x14ac:dyDescent="0.3">
      <c r="A23" s="6"/>
      <c r="B23" s="10"/>
      <c r="C23" s="10"/>
      <c r="D23" s="21"/>
      <c r="E23" s="1"/>
      <c r="F23" s="1"/>
      <c r="H23" s="22"/>
    </row>
    <row r="24" spans="1:8" ht="16.2" thickBot="1" x14ac:dyDescent="0.35">
      <c r="A24" s="6" t="s">
        <v>17</v>
      </c>
      <c r="B24" s="7"/>
      <c r="C24" s="23">
        <f>C12+B26</f>
        <v>5808013.9800000004</v>
      </c>
      <c r="E24" s="1"/>
      <c r="F24" s="1"/>
      <c r="H24" s="22"/>
    </row>
    <row r="25" spans="1:8" ht="15.6" thickTop="1" x14ac:dyDescent="0.25">
      <c r="A25" s="1"/>
      <c r="B25" s="1"/>
      <c r="C25" s="1"/>
      <c r="D25" s="1"/>
      <c r="E25" s="1"/>
      <c r="F25" s="1"/>
    </row>
    <row r="26" spans="1:8" ht="16.2" thickBot="1" x14ac:dyDescent="0.35">
      <c r="A26" s="24" t="s">
        <v>18</v>
      </c>
      <c r="B26" s="25">
        <f>C18+C22</f>
        <v>3728446.66</v>
      </c>
      <c r="C26" s="26"/>
      <c r="D26" s="27"/>
      <c r="E26" s="26"/>
      <c r="F26" s="26"/>
    </row>
    <row r="27" spans="1:8" ht="16.2" thickTop="1" x14ac:dyDescent="0.3">
      <c r="A27" s="24"/>
      <c r="B27" s="10"/>
      <c r="C27" s="26"/>
      <c r="D27" s="27"/>
      <c r="E27" s="26"/>
      <c r="F27" s="26"/>
    </row>
    <row r="28" spans="1:8" ht="5.25" customHeight="1" x14ac:dyDescent="0.3">
      <c r="A28" s="24"/>
      <c r="B28" s="10"/>
      <c r="C28" s="26"/>
      <c r="D28" s="27"/>
      <c r="E28" s="26"/>
      <c r="F28" s="26"/>
    </row>
    <row r="29" spans="1:8" ht="15.6" x14ac:dyDescent="0.3">
      <c r="A29" s="28" t="s">
        <v>159</v>
      </c>
      <c r="B29" s="1"/>
      <c r="C29" s="1"/>
      <c r="D29" s="1"/>
      <c r="E29" s="1"/>
      <c r="F29" s="1"/>
    </row>
    <row r="30" spans="1:8" ht="15.6" x14ac:dyDescent="0.3">
      <c r="A30" s="29" t="s">
        <v>155</v>
      </c>
      <c r="B30" s="1"/>
      <c r="C30" s="1"/>
      <c r="D30" s="1"/>
      <c r="E30" s="1"/>
      <c r="F30" s="1"/>
    </row>
    <row r="31" spans="1:8" ht="15.6" x14ac:dyDescent="0.3">
      <c r="A31" s="6" t="s">
        <v>160</v>
      </c>
      <c r="B31" s="1"/>
      <c r="C31" s="1"/>
      <c r="D31" s="1"/>
      <c r="E31" s="1"/>
      <c r="F31" s="1"/>
    </row>
    <row r="32" spans="1:8" x14ac:dyDescent="0.25">
      <c r="A32" s="1"/>
      <c r="B32" s="1"/>
      <c r="C32" s="1"/>
      <c r="D32" s="1"/>
      <c r="E32" s="1"/>
      <c r="F32" s="1"/>
    </row>
    <row r="33" spans="1:6" ht="15.6" x14ac:dyDescent="0.3">
      <c r="A33" s="6" t="s">
        <v>22</v>
      </c>
      <c r="B33" s="1"/>
      <c r="C33" s="1"/>
      <c r="D33" s="1"/>
      <c r="E33" s="1"/>
      <c r="F33" s="1"/>
    </row>
    <row r="34" spans="1:6" ht="15.6" x14ac:dyDescent="0.3">
      <c r="A34" s="6" t="s">
        <v>23</v>
      </c>
      <c r="B34" s="7">
        <v>66645.75</v>
      </c>
      <c r="C34" s="10"/>
      <c r="D34" s="1"/>
      <c r="E34" s="1"/>
      <c r="F34" s="1"/>
    </row>
    <row r="35" spans="1:6" ht="15.6" x14ac:dyDescent="0.3">
      <c r="A35" s="6" t="s">
        <v>25</v>
      </c>
      <c r="B35" s="7">
        <v>74144</v>
      </c>
      <c r="C35" s="10"/>
      <c r="D35" s="1"/>
      <c r="E35" s="1"/>
      <c r="F35" s="1"/>
    </row>
    <row r="36" spans="1:6" ht="15.6" x14ac:dyDescent="0.3">
      <c r="A36" s="6" t="s">
        <v>26</v>
      </c>
      <c r="B36" s="7">
        <f>924.75+8100+135000+72832</f>
        <v>216856.75</v>
      </c>
      <c r="C36" s="10"/>
      <c r="D36" s="1"/>
      <c r="E36" s="1"/>
      <c r="F36" s="1"/>
    </row>
    <row r="37" spans="1:6" ht="15.6" hidden="1" x14ac:dyDescent="0.3">
      <c r="A37" s="6" t="s">
        <v>27</v>
      </c>
      <c r="B37" s="7"/>
      <c r="C37" s="10"/>
      <c r="D37" s="1"/>
      <c r="E37" s="1"/>
      <c r="F37" s="1"/>
    </row>
    <row r="38" spans="1:6" ht="15.6" thickBot="1" x14ac:dyDescent="0.3">
      <c r="A38" s="1"/>
      <c r="B38" s="30">
        <f>SUM(B34:B37)</f>
        <v>357646.5</v>
      </c>
      <c r="C38" s="31"/>
      <c r="D38" s="1"/>
      <c r="E38" s="1"/>
      <c r="F38" s="1"/>
    </row>
    <row r="39" spans="1:6" ht="15.6" thickTop="1" x14ac:dyDescent="0.25">
      <c r="A39" s="1"/>
      <c r="B39" s="1"/>
      <c r="C39" s="32"/>
      <c r="D39" s="1"/>
      <c r="E39" s="1"/>
      <c r="F39" s="1"/>
    </row>
  </sheetData>
  <mergeCells count="3">
    <mergeCell ref="A1:D1"/>
    <mergeCell ref="A2:D2"/>
    <mergeCell ref="A3:D3"/>
  </mergeCells>
  <pageMargins left="0.45" right="0.2" top="0.75" bottom="0.75" header="0.3" footer="0.3"/>
  <pageSetup scale="82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D29"/>
  <sheetViews>
    <sheetView workbookViewId="0">
      <selection activeCell="B16" sqref="B16"/>
    </sheetView>
  </sheetViews>
  <sheetFormatPr defaultRowHeight="14.4" x14ac:dyDescent="0.3"/>
  <cols>
    <col min="1" max="1" width="24.33203125" customWidth="1"/>
    <col min="2" max="2" width="14.6640625" bestFit="1" customWidth="1"/>
    <col min="6" max="6" width="11.88671875" customWidth="1"/>
  </cols>
  <sheetData>
    <row r="1" spans="1:4" x14ac:dyDescent="0.3">
      <c r="A1" s="33" t="s">
        <v>161</v>
      </c>
    </row>
    <row r="2" spans="1:4" x14ac:dyDescent="0.3">
      <c r="A2" t="s">
        <v>29</v>
      </c>
      <c r="B2" s="34">
        <v>3889939.56</v>
      </c>
    </row>
    <row r="3" spans="1:4" x14ac:dyDescent="0.3">
      <c r="A3" t="s">
        <v>30</v>
      </c>
      <c r="B3" s="35">
        <v>0</v>
      </c>
    </row>
    <row r="4" spans="1:4" x14ac:dyDescent="0.3">
      <c r="A4" t="s">
        <v>31</v>
      </c>
      <c r="B4" s="34">
        <v>652783.35</v>
      </c>
    </row>
    <row r="5" spans="1:4" x14ac:dyDescent="0.3">
      <c r="A5" t="s">
        <v>32</v>
      </c>
      <c r="B5" s="34">
        <v>-629207.29</v>
      </c>
      <c r="D5" s="35"/>
    </row>
    <row r="6" spans="1:4" x14ac:dyDescent="0.3">
      <c r="A6" t="s">
        <v>33</v>
      </c>
      <c r="B6" s="34"/>
      <c r="C6" t="s">
        <v>34</v>
      </c>
    </row>
    <row r="7" spans="1:4" x14ac:dyDescent="0.3">
      <c r="A7" t="s">
        <v>35</v>
      </c>
      <c r="B7" s="34">
        <f>-203587.81+-B20</f>
        <v>-185744.47</v>
      </c>
    </row>
    <row r="8" spans="1:4" x14ac:dyDescent="0.3">
      <c r="A8" t="s">
        <v>36</v>
      </c>
      <c r="B8" s="36">
        <v>382684.96</v>
      </c>
      <c r="C8" t="s">
        <v>37</v>
      </c>
    </row>
    <row r="9" spans="1:4" x14ac:dyDescent="0.3">
      <c r="A9" t="s">
        <v>38</v>
      </c>
      <c r="B9" s="34">
        <v>-382847.69</v>
      </c>
    </row>
    <row r="10" spans="1:4" x14ac:dyDescent="0.3">
      <c r="A10" t="s">
        <v>39</v>
      </c>
      <c r="B10" s="34">
        <v>838.24</v>
      </c>
    </row>
    <row r="11" spans="1:4" x14ac:dyDescent="0.3">
      <c r="A11" t="s">
        <v>40</v>
      </c>
      <c r="B11" s="34">
        <v>0</v>
      </c>
      <c r="C11" t="s">
        <v>152</v>
      </c>
    </row>
    <row r="12" spans="1:4" x14ac:dyDescent="0.3">
      <c r="A12" t="s">
        <v>16</v>
      </c>
      <c r="B12" s="34">
        <v>0</v>
      </c>
    </row>
    <row r="13" spans="1:4" x14ac:dyDescent="0.3">
      <c r="A13" t="s">
        <v>42</v>
      </c>
      <c r="B13" s="34">
        <f>-B25</f>
        <v>0</v>
      </c>
    </row>
    <row r="14" spans="1:4" x14ac:dyDescent="0.3">
      <c r="A14" t="s">
        <v>43</v>
      </c>
      <c r="B14" s="37">
        <f>SUM(B2:B13)</f>
        <v>3728446.66</v>
      </c>
    </row>
    <row r="15" spans="1:4" x14ac:dyDescent="0.3">
      <c r="A15" t="s">
        <v>44</v>
      </c>
      <c r="B15" s="34">
        <v>-3728446.66</v>
      </c>
    </row>
    <row r="16" spans="1:4" ht="15" thickBot="1" x14ac:dyDescent="0.35">
      <c r="A16" t="s">
        <v>45</v>
      </c>
      <c r="B16" s="38">
        <f>SUM(B14:B15)</f>
        <v>0</v>
      </c>
    </row>
    <row r="17" spans="1:3" ht="15" thickTop="1" x14ac:dyDescent="0.3">
      <c r="B17" s="39"/>
    </row>
    <row r="18" spans="1:3" x14ac:dyDescent="0.3">
      <c r="A18" t="s">
        <v>29</v>
      </c>
      <c r="B18" s="35">
        <v>1312603.48</v>
      </c>
    </row>
    <row r="19" spans="1:3" x14ac:dyDescent="0.3">
      <c r="A19" t="s">
        <v>30</v>
      </c>
      <c r="B19" s="34">
        <v>666666.67000000004</v>
      </c>
    </row>
    <row r="20" spans="1:3" x14ac:dyDescent="0.3">
      <c r="A20" t="s">
        <v>46</v>
      </c>
      <c r="B20" s="34">
        <v>-17843.34</v>
      </c>
      <c r="C20" t="s">
        <v>47</v>
      </c>
    </row>
    <row r="21" spans="1:3" x14ac:dyDescent="0.3">
      <c r="A21" t="s">
        <v>33</v>
      </c>
      <c r="B21" s="34"/>
    </row>
    <row r="22" spans="1:3" x14ac:dyDescent="0.3">
      <c r="A22" t="s">
        <v>39</v>
      </c>
      <c r="B22" s="34">
        <v>73.739999999999995</v>
      </c>
    </row>
    <row r="23" spans="1:3" x14ac:dyDescent="0.3">
      <c r="A23" t="s">
        <v>40</v>
      </c>
      <c r="B23" s="34">
        <v>0</v>
      </c>
    </row>
    <row r="24" spans="1:3" x14ac:dyDescent="0.3">
      <c r="A24" t="s">
        <v>48</v>
      </c>
      <c r="B24" s="34">
        <v>118066.77</v>
      </c>
    </row>
    <row r="25" spans="1:3" x14ac:dyDescent="0.3">
      <c r="A25" t="s">
        <v>42</v>
      </c>
      <c r="B25" s="34"/>
    </row>
    <row r="26" spans="1:3" x14ac:dyDescent="0.3">
      <c r="A26" t="s">
        <v>51</v>
      </c>
      <c r="B26" s="40">
        <f>SUM(B18:B25)</f>
        <v>2079567.3199999998</v>
      </c>
    </row>
    <row r="27" spans="1:3" x14ac:dyDescent="0.3">
      <c r="A27" t="s">
        <v>52</v>
      </c>
      <c r="B27" s="35">
        <v>-2079567.32</v>
      </c>
    </row>
    <row r="28" spans="1:3" ht="15" thickBot="1" x14ac:dyDescent="0.35">
      <c r="A28" t="s">
        <v>45</v>
      </c>
      <c r="B28" s="41">
        <f>SUM(B26:B27)</f>
        <v>0</v>
      </c>
    </row>
    <row r="29" spans="1:3" ht="15" thickTop="1" x14ac:dyDescent="0.3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2"/>
  <sheetViews>
    <sheetView topLeftCell="A6" zoomScaleNormal="100" workbookViewId="0">
      <selection activeCell="A34" sqref="A34"/>
    </sheetView>
  </sheetViews>
  <sheetFormatPr defaultColWidth="9.109375" defaultRowHeight="15" x14ac:dyDescent="0.25"/>
  <cols>
    <col min="1" max="1" width="49.44140625" style="2" bestFit="1" customWidth="1"/>
    <col min="2" max="4" width="19.109375" style="2" customWidth="1"/>
    <col min="5" max="5" width="5.88671875" style="2" customWidth="1"/>
    <col min="6" max="7" width="9.109375" style="2"/>
    <col min="8" max="8" width="15.6640625" style="2" customWidth="1"/>
    <col min="9" max="9" width="3.5546875" style="2" customWidth="1"/>
    <col min="10" max="10" width="15.109375" style="2" bestFit="1" customWidth="1"/>
    <col min="11" max="16384" width="9.109375" style="2"/>
  </cols>
  <sheetData>
    <row r="1" spans="1:10" ht="15.6" x14ac:dyDescent="0.3">
      <c r="A1" s="96" t="s">
        <v>0</v>
      </c>
      <c r="B1" s="96"/>
      <c r="C1" s="96"/>
      <c r="D1" s="96"/>
      <c r="E1" s="1"/>
      <c r="F1" s="1"/>
    </row>
    <row r="2" spans="1:10" ht="15.6" x14ac:dyDescent="0.3">
      <c r="A2" s="96" t="s">
        <v>1</v>
      </c>
      <c r="B2" s="96"/>
      <c r="C2" s="96"/>
      <c r="D2" s="96"/>
      <c r="E2" s="1"/>
      <c r="F2" s="1"/>
    </row>
    <row r="3" spans="1:10" ht="15.6" x14ac:dyDescent="0.3">
      <c r="A3" s="96" t="s">
        <v>125</v>
      </c>
      <c r="B3" s="96"/>
      <c r="C3" s="96"/>
      <c r="D3" s="96"/>
      <c r="E3" s="1"/>
      <c r="F3" s="1"/>
    </row>
    <row r="4" spans="1:10" ht="15.6" x14ac:dyDescent="0.3">
      <c r="A4" s="56"/>
      <c r="B4" s="56"/>
      <c r="C4" s="56"/>
      <c r="D4" s="56"/>
      <c r="E4" s="1"/>
      <c r="F4" s="1"/>
    </row>
    <row r="5" spans="1:10" ht="15.6" x14ac:dyDescent="0.3">
      <c r="A5" s="56"/>
      <c r="B5" s="56"/>
      <c r="C5" s="56"/>
      <c r="D5" s="56"/>
      <c r="E5" s="1"/>
      <c r="F5" s="1"/>
    </row>
    <row r="6" spans="1:10" x14ac:dyDescent="0.25">
      <c r="A6" s="1"/>
      <c r="B6" s="1"/>
      <c r="C6" s="1"/>
      <c r="D6" s="4"/>
      <c r="E6" s="1"/>
      <c r="F6" s="1"/>
    </row>
    <row r="7" spans="1:10" x14ac:dyDescent="0.25">
      <c r="A7" s="1"/>
      <c r="B7" s="1"/>
      <c r="C7" s="1"/>
      <c r="D7" s="1"/>
      <c r="E7" s="1"/>
      <c r="F7" s="1"/>
      <c r="G7" s="5"/>
      <c r="H7" s="5"/>
      <c r="I7" s="5"/>
      <c r="J7" s="5"/>
    </row>
    <row r="8" spans="1:10" ht="15.6" x14ac:dyDescent="0.3">
      <c r="A8" s="6"/>
      <c r="B8" s="7"/>
      <c r="C8" s="7"/>
      <c r="D8" s="8"/>
      <c r="E8" s="1"/>
      <c r="F8" s="1"/>
      <c r="G8" s="5"/>
      <c r="H8" s="9"/>
      <c r="I8" s="5"/>
      <c r="J8" s="9"/>
    </row>
    <row r="9" spans="1:10" ht="15.6" x14ac:dyDescent="0.3">
      <c r="A9" s="6" t="s">
        <v>3</v>
      </c>
      <c r="B9" s="7">
        <v>406662.43</v>
      </c>
      <c r="C9" s="7"/>
      <c r="D9" s="8"/>
      <c r="E9" s="1"/>
      <c r="F9" s="1"/>
      <c r="G9" s="5"/>
      <c r="H9" s="9"/>
      <c r="I9" s="5"/>
      <c r="J9" s="9"/>
    </row>
    <row r="10" spans="1:10" ht="15.6" x14ac:dyDescent="0.3">
      <c r="A10" s="6" t="s">
        <v>110</v>
      </c>
      <c r="B10" s="10">
        <f>211446.28-24779.88+78.5-111574.11-91733.52+58333.33-161400.29-115889.95+5967.94-32783.42-21270.42-422010.42-15217.38-658.38+504110.83-401563.36+730.05-24342.39</f>
        <v>-642556.59</v>
      </c>
      <c r="C10" s="10"/>
      <c r="D10" s="8"/>
      <c r="E10" s="1"/>
      <c r="F10" s="1"/>
      <c r="G10" s="5"/>
      <c r="H10" s="9"/>
      <c r="I10" s="5"/>
      <c r="J10" s="9"/>
    </row>
    <row r="11" spans="1:10" ht="15.6" x14ac:dyDescent="0.3">
      <c r="A11" s="6" t="s">
        <v>5</v>
      </c>
      <c r="B11" s="10">
        <v>0</v>
      </c>
      <c r="C11" s="11"/>
      <c r="D11" s="8"/>
      <c r="E11" s="1"/>
      <c r="F11" s="1"/>
      <c r="H11" s="12"/>
    </row>
    <row r="12" spans="1:10" ht="15.6" x14ac:dyDescent="0.3">
      <c r="A12" s="6" t="s">
        <v>6</v>
      </c>
      <c r="B12" s="10">
        <v>0</v>
      </c>
      <c r="C12" s="11"/>
      <c r="D12" s="8"/>
      <c r="E12" s="1"/>
      <c r="F12" s="1"/>
      <c r="H12" s="12"/>
    </row>
    <row r="13" spans="1:10" ht="15.6" hidden="1" x14ac:dyDescent="0.3">
      <c r="A13" s="6" t="s">
        <v>7</v>
      </c>
      <c r="B13" s="10">
        <v>0</v>
      </c>
      <c r="C13" s="11"/>
      <c r="D13" s="8"/>
      <c r="E13" s="1"/>
      <c r="F13" s="1"/>
      <c r="H13" s="12"/>
    </row>
    <row r="14" spans="1:10" ht="15.6" hidden="1" x14ac:dyDescent="0.3">
      <c r="A14" s="6" t="s">
        <v>8</v>
      </c>
      <c r="B14" s="10">
        <v>0</v>
      </c>
      <c r="C14" s="11"/>
      <c r="D14" s="8"/>
      <c r="E14" s="1"/>
      <c r="F14" s="1"/>
      <c r="H14" s="12"/>
    </row>
    <row r="15" spans="1:10" ht="15.6" x14ac:dyDescent="0.3">
      <c r="A15" s="6" t="s">
        <v>55</v>
      </c>
      <c r="B15" s="13">
        <v>4015.15</v>
      </c>
      <c r="C15" s="14"/>
      <c r="D15" s="8"/>
      <c r="E15" s="1"/>
      <c r="F15" s="1"/>
      <c r="H15" s="12"/>
    </row>
    <row r="16" spans="1:10" ht="15.6" x14ac:dyDescent="0.3">
      <c r="A16" s="15" t="s">
        <v>9</v>
      </c>
      <c r="B16" s="7"/>
      <c r="C16" s="7">
        <f>SUM(B8:B15)</f>
        <v>-231879.00999999998</v>
      </c>
      <c r="D16" s="8"/>
      <c r="E16" s="1"/>
      <c r="F16" s="1"/>
      <c r="G16" s="5"/>
      <c r="H16" s="16"/>
      <c r="I16" s="17"/>
      <c r="J16" s="16"/>
    </row>
    <row r="17" spans="1:8" x14ac:dyDescent="0.25">
      <c r="A17" s="1"/>
      <c r="B17" s="7"/>
      <c r="C17" s="7"/>
      <c r="D17" s="8"/>
      <c r="E17" s="1"/>
      <c r="F17" s="1"/>
    </row>
    <row r="18" spans="1:8" ht="15.6" x14ac:dyDescent="0.3">
      <c r="A18" s="6" t="s">
        <v>10</v>
      </c>
      <c r="B18" s="18">
        <v>1268294.17</v>
      </c>
      <c r="C18" s="7"/>
      <c r="D18" s="8"/>
      <c r="E18" s="1"/>
      <c r="F18" s="1"/>
      <c r="H18" s="12"/>
    </row>
    <row r="19" spans="1:8" ht="15.6" x14ac:dyDescent="0.3">
      <c r="A19" s="6" t="s">
        <v>11</v>
      </c>
      <c r="B19" s="7">
        <f>-+B10+850717.26</f>
        <v>1493273.85</v>
      </c>
      <c r="C19" s="10"/>
      <c r="D19" s="8"/>
      <c r="E19" s="1"/>
      <c r="F19" s="1"/>
      <c r="H19" s="12"/>
    </row>
    <row r="20" spans="1:8" ht="15.6" x14ac:dyDescent="0.3">
      <c r="A20" s="6" t="s">
        <v>12</v>
      </c>
      <c r="B20" s="7">
        <v>1157739.98</v>
      </c>
      <c r="C20" s="11"/>
      <c r="D20" s="8"/>
      <c r="E20" s="1"/>
      <c r="F20" s="1"/>
      <c r="H20" s="12"/>
    </row>
    <row r="21" spans="1:8" ht="15.6" x14ac:dyDescent="0.3">
      <c r="A21" s="6" t="s">
        <v>13</v>
      </c>
      <c r="B21" s="19">
        <f>2800+1665+10776.69</f>
        <v>15241.69</v>
      </c>
      <c r="C21" s="13"/>
      <c r="D21" s="8"/>
      <c r="E21" s="1"/>
      <c r="F21" s="1"/>
      <c r="H21" s="12"/>
    </row>
    <row r="22" spans="1:8" ht="15.6" x14ac:dyDescent="0.3">
      <c r="A22" s="6" t="s">
        <v>14</v>
      </c>
      <c r="B22" s="10"/>
      <c r="C22" s="54">
        <f>SUM(B18:B21)</f>
        <v>3934549.69</v>
      </c>
      <c r="D22" s="8"/>
      <c r="E22" s="1"/>
      <c r="F22" s="1"/>
      <c r="H22" s="12"/>
    </row>
    <row r="23" spans="1:8" ht="6" customHeight="1" x14ac:dyDescent="0.3">
      <c r="A23" s="6"/>
      <c r="B23" s="10"/>
      <c r="C23" s="10"/>
      <c r="D23" s="8"/>
      <c r="E23" s="1"/>
      <c r="F23" s="1"/>
      <c r="H23" s="12"/>
    </row>
    <row r="24" spans="1:8" ht="15.6" x14ac:dyDescent="0.3">
      <c r="A24" s="6" t="s">
        <v>15</v>
      </c>
      <c r="B24" s="7"/>
      <c r="C24" s="20">
        <f>C16+C22</f>
        <v>3702670.68</v>
      </c>
      <c r="D24" s="8"/>
      <c r="E24" s="1"/>
      <c r="F24" s="1"/>
      <c r="H24" s="12"/>
    </row>
    <row r="25" spans="1:8" ht="6" customHeight="1" x14ac:dyDescent="0.25">
      <c r="A25" s="1"/>
      <c r="B25" s="7"/>
      <c r="C25" s="7"/>
      <c r="D25" s="8"/>
      <c r="E25" s="1"/>
      <c r="F25" s="1"/>
    </row>
    <row r="26" spans="1:8" ht="15.6" x14ac:dyDescent="0.3">
      <c r="A26" s="6" t="s">
        <v>16</v>
      </c>
      <c r="B26" s="7"/>
      <c r="C26" s="10">
        <v>0</v>
      </c>
      <c r="D26" s="21"/>
      <c r="E26" s="1"/>
      <c r="F26" s="1"/>
      <c r="H26" s="22"/>
    </row>
    <row r="27" spans="1:8" ht="6" customHeight="1" x14ac:dyDescent="0.3">
      <c r="A27" s="6"/>
      <c r="B27" s="10"/>
      <c r="C27" s="10"/>
      <c r="D27" s="21"/>
      <c r="E27" s="1"/>
      <c r="F27" s="1"/>
      <c r="H27" s="22"/>
    </row>
    <row r="28" spans="1:8" ht="16.2" thickBot="1" x14ac:dyDescent="0.35">
      <c r="A28" s="6" t="s">
        <v>17</v>
      </c>
      <c r="B28" s="7"/>
      <c r="C28" s="23">
        <f>C16+B30</f>
        <v>3702670.68</v>
      </c>
      <c r="E28" s="1"/>
      <c r="F28" s="1"/>
      <c r="H28" s="22"/>
    </row>
    <row r="29" spans="1:8" ht="15.6" thickTop="1" x14ac:dyDescent="0.25">
      <c r="A29" s="1"/>
      <c r="B29" s="1"/>
      <c r="C29" s="1"/>
      <c r="D29" s="1"/>
      <c r="E29" s="1"/>
      <c r="F29" s="1"/>
    </row>
    <row r="30" spans="1:8" ht="16.2" thickBot="1" x14ac:dyDescent="0.35">
      <c r="A30" s="24" t="s">
        <v>18</v>
      </c>
      <c r="B30" s="25">
        <f>C22+C26</f>
        <v>3934549.69</v>
      </c>
      <c r="C30" s="26"/>
      <c r="D30" s="27"/>
      <c r="E30" s="26"/>
      <c r="F30" s="26"/>
    </row>
    <row r="31" spans="1:8" ht="16.2" thickTop="1" x14ac:dyDescent="0.3">
      <c r="A31" s="24"/>
      <c r="B31" s="10"/>
      <c r="C31" s="26"/>
      <c r="D31" s="27"/>
      <c r="E31" s="26"/>
      <c r="F31" s="26"/>
    </row>
    <row r="32" spans="1:8" ht="5.25" customHeight="1" x14ac:dyDescent="0.3">
      <c r="A32" s="24"/>
      <c r="B32" s="10"/>
      <c r="C32" s="26"/>
      <c r="D32" s="27"/>
      <c r="E32" s="26"/>
      <c r="F32" s="26"/>
    </row>
    <row r="33" spans="1:6" ht="15.6" x14ac:dyDescent="0.3">
      <c r="A33" s="28" t="s">
        <v>129</v>
      </c>
      <c r="B33" s="1"/>
      <c r="C33" s="1"/>
      <c r="D33" s="1"/>
      <c r="E33" s="1"/>
      <c r="F33" s="1"/>
    </row>
    <row r="34" spans="1:6" ht="15.6" x14ac:dyDescent="0.3">
      <c r="A34" s="29" t="s">
        <v>115</v>
      </c>
      <c r="B34" s="1"/>
      <c r="C34" s="1"/>
      <c r="D34" s="1"/>
      <c r="E34" s="1"/>
      <c r="F34" s="1"/>
    </row>
    <row r="35" spans="1:6" ht="15.6" x14ac:dyDescent="0.3">
      <c r="A35" s="6" t="s">
        <v>126</v>
      </c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ht="15.6" x14ac:dyDescent="0.3">
      <c r="A37" s="6" t="s">
        <v>22</v>
      </c>
      <c r="B37" s="1"/>
      <c r="C37" s="1"/>
      <c r="D37" s="1"/>
      <c r="E37" s="1"/>
      <c r="F37" s="1"/>
    </row>
    <row r="38" spans="1:6" ht="15.6" x14ac:dyDescent="0.3">
      <c r="A38" s="6" t="s">
        <v>25</v>
      </c>
      <c r="B38" s="7">
        <v>201014.14</v>
      </c>
      <c r="C38" s="10"/>
      <c r="D38" s="1"/>
      <c r="E38" s="1"/>
      <c r="F38" s="1"/>
    </row>
    <row r="39" spans="1:6" ht="15.6" x14ac:dyDescent="0.3">
      <c r="A39" s="6" t="s">
        <v>26</v>
      </c>
      <c r="B39" s="7">
        <f>113322.3-107176.75</f>
        <v>6145.5500000000029</v>
      </c>
      <c r="C39" s="10"/>
      <c r="D39" s="1"/>
      <c r="E39" s="1"/>
      <c r="F39" s="1"/>
    </row>
    <row r="40" spans="1:6" ht="15.6" thickBot="1" x14ac:dyDescent="0.3">
      <c r="A40" s="1"/>
      <c r="B40" s="30">
        <f>SUM(B38:B39)</f>
        <v>207159.69</v>
      </c>
      <c r="C40" s="31"/>
      <c r="D40" s="1"/>
      <c r="E40" s="1"/>
      <c r="F40" s="1"/>
    </row>
    <row r="41" spans="1:6" ht="15.6" thickTop="1" x14ac:dyDescent="0.25">
      <c r="A41" s="1"/>
      <c r="B41" s="1"/>
      <c r="C41" s="32"/>
      <c r="D41" s="1"/>
      <c r="E41" s="1"/>
      <c r="F41" s="1"/>
    </row>
    <row r="42" spans="1:6" ht="15.6" x14ac:dyDescent="0.3">
      <c r="A42" s="52" t="s">
        <v>111</v>
      </c>
    </row>
  </sheetData>
  <mergeCells count="3">
    <mergeCell ref="A1:D1"/>
    <mergeCell ref="A2:D2"/>
    <mergeCell ref="A3:D3"/>
  </mergeCells>
  <pageMargins left="0.45" right="0.2" top="0.75" bottom="0.75" header="0.3" footer="0.3"/>
  <pageSetup scale="82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transitionEvaluation="1" transitionEntry="1">
    <pageSetUpPr fitToPage="1"/>
  </sheetPr>
  <dimension ref="A1:H38"/>
  <sheetViews>
    <sheetView workbookViewId="0">
      <selection activeCell="M47" sqref="M47"/>
    </sheetView>
  </sheetViews>
  <sheetFormatPr defaultColWidth="9.109375" defaultRowHeight="13.2" x14ac:dyDescent="0.25"/>
  <cols>
    <col min="1" max="1" width="13.5546875" style="66" customWidth="1"/>
    <col min="2" max="2" width="14" style="66" bestFit="1" customWidth="1"/>
    <col min="3" max="3" width="2" style="66" customWidth="1"/>
    <col min="4" max="4" width="10.109375" style="66" customWidth="1"/>
    <col min="5" max="5" width="13.33203125" style="66" bestFit="1" customWidth="1"/>
    <col min="6" max="6" width="15.109375" style="66" customWidth="1"/>
    <col min="7" max="7" width="14.6640625" style="66" customWidth="1"/>
    <col min="8" max="8" width="14.5546875" style="66" bestFit="1" customWidth="1"/>
    <col min="9" max="9" width="18.44140625" style="66" customWidth="1"/>
    <col min="10" max="16384" width="9.109375" style="66"/>
  </cols>
  <sheetData>
    <row r="1" spans="1:8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8" x14ac:dyDescent="0.25">
      <c r="A2" s="97" t="s">
        <v>172</v>
      </c>
      <c r="B2" s="97"/>
      <c r="C2" s="97"/>
      <c r="D2" s="97"/>
      <c r="E2" s="97"/>
      <c r="F2" s="97"/>
      <c r="G2" s="97"/>
      <c r="H2" s="97"/>
    </row>
    <row r="3" spans="1:8" x14ac:dyDescent="0.25">
      <c r="A3" s="97" t="s">
        <v>173</v>
      </c>
      <c r="B3" s="97"/>
      <c r="C3" s="97"/>
      <c r="D3" s="97"/>
      <c r="E3" s="97"/>
      <c r="F3" s="97"/>
      <c r="G3" s="97"/>
      <c r="H3" s="97"/>
    </row>
    <row r="4" spans="1:8" x14ac:dyDescent="0.25">
      <c r="A4" s="97" t="s">
        <v>195</v>
      </c>
      <c r="B4" s="97"/>
      <c r="C4" s="97"/>
      <c r="D4" s="97"/>
      <c r="E4" s="97"/>
      <c r="F4" s="97"/>
      <c r="G4" s="97"/>
      <c r="H4" s="97"/>
    </row>
    <row r="5" spans="1:8" x14ac:dyDescent="0.25">
      <c r="A5" s="67"/>
      <c r="B5" s="67"/>
      <c r="C5" s="67"/>
      <c r="D5" s="67"/>
      <c r="E5" s="67"/>
      <c r="F5" s="67"/>
      <c r="G5" s="67"/>
      <c r="H5" s="67"/>
    </row>
    <row r="6" spans="1:8" x14ac:dyDescent="0.25">
      <c r="A6" s="67"/>
      <c r="B6" s="67"/>
      <c r="C6" s="67"/>
      <c r="D6" s="67"/>
      <c r="E6" s="67"/>
      <c r="F6" s="67"/>
      <c r="G6" s="67"/>
      <c r="H6" s="67"/>
    </row>
    <row r="7" spans="1:8" x14ac:dyDescent="0.25">
      <c r="A7" s="67"/>
      <c r="B7" s="67"/>
      <c r="C7" s="67"/>
      <c r="D7" s="67"/>
      <c r="E7" s="67"/>
      <c r="F7" s="67"/>
      <c r="G7" s="67"/>
      <c r="H7" s="67"/>
    </row>
    <row r="8" spans="1:8" x14ac:dyDescent="0.25">
      <c r="A8" s="68" t="s">
        <v>174</v>
      </c>
      <c r="B8" s="67"/>
      <c r="C8" s="67"/>
      <c r="D8" s="67"/>
      <c r="E8" s="67"/>
      <c r="F8" s="67"/>
      <c r="G8" s="69">
        <v>3107546.25</v>
      </c>
      <c r="H8" s="67"/>
    </row>
    <row r="9" spans="1:8" x14ac:dyDescent="0.25">
      <c r="A9" s="67"/>
      <c r="B9" s="67"/>
      <c r="C9" s="67"/>
      <c r="D9" s="67"/>
      <c r="E9" s="67"/>
      <c r="F9" s="67"/>
      <c r="G9" s="67"/>
      <c r="H9" s="67"/>
    </row>
    <row r="10" spans="1:8" x14ac:dyDescent="0.25">
      <c r="A10" s="68" t="s">
        <v>175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/>
      <c r="B11" s="69"/>
      <c r="C11" s="67"/>
      <c r="D11" s="67"/>
      <c r="E11" s="67"/>
      <c r="F11" s="67"/>
      <c r="G11" s="71"/>
      <c r="H11" s="67"/>
    </row>
    <row r="12" spans="1:8" x14ac:dyDescent="0.25">
      <c r="A12" s="67"/>
      <c r="B12" s="67"/>
      <c r="C12" s="67"/>
      <c r="D12" s="67"/>
      <c r="E12" s="67"/>
      <c r="F12" s="67"/>
      <c r="G12" s="67"/>
      <c r="H12" s="67"/>
    </row>
    <row r="13" spans="1:8" x14ac:dyDescent="0.25">
      <c r="A13" s="67"/>
      <c r="B13" s="67"/>
      <c r="C13" s="67"/>
      <c r="D13" s="67"/>
      <c r="E13" s="67"/>
      <c r="F13" s="67"/>
      <c r="G13" s="67"/>
      <c r="H13" s="67"/>
    </row>
    <row r="14" spans="1:8" x14ac:dyDescent="0.25">
      <c r="A14" s="68" t="s">
        <v>176</v>
      </c>
      <c r="B14" s="67"/>
      <c r="C14" s="67"/>
      <c r="D14" s="67"/>
      <c r="E14" s="67"/>
      <c r="F14" s="67"/>
      <c r="G14" s="67"/>
      <c r="H14" s="67"/>
    </row>
    <row r="15" spans="1:8" x14ac:dyDescent="0.25">
      <c r="A15" s="70"/>
      <c r="B15" s="72"/>
      <c r="C15" s="67"/>
      <c r="D15" s="67"/>
      <c r="E15" s="69"/>
      <c r="F15" s="67"/>
      <c r="G15" s="67"/>
      <c r="H15" s="67"/>
    </row>
    <row r="16" spans="1:8" x14ac:dyDescent="0.25">
      <c r="A16" s="67"/>
      <c r="B16" s="72"/>
      <c r="C16" s="67"/>
      <c r="D16" s="67"/>
      <c r="E16" s="69"/>
      <c r="F16" s="67"/>
      <c r="G16" s="67"/>
      <c r="H16" s="67"/>
    </row>
    <row r="17" spans="1:8" x14ac:dyDescent="0.25">
      <c r="A17" s="73"/>
      <c r="B17" s="72"/>
      <c r="C17" s="73"/>
      <c r="D17" s="73"/>
      <c r="E17" s="69"/>
      <c r="F17" s="73"/>
      <c r="G17" s="73"/>
      <c r="H17" s="73"/>
    </row>
    <row r="18" spans="1:8" x14ac:dyDescent="0.25">
      <c r="A18" s="91"/>
      <c r="B18" s="72"/>
      <c r="C18" s="73"/>
      <c r="D18" s="73"/>
      <c r="E18" s="69"/>
      <c r="F18" s="73"/>
      <c r="G18" s="74"/>
      <c r="H18" s="73"/>
    </row>
    <row r="19" spans="1:8" x14ac:dyDescent="0.25">
      <c r="A19" s="73"/>
      <c r="B19" s="72"/>
      <c r="C19" s="73"/>
      <c r="D19" s="73"/>
      <c r="E19" s="73"/>
      <c r="F19" s="73"/>
      <c r="G19" s="73"/>
      <c r="H19" s="73"/>
    </row>
    <row r="20" spans="1:8" ht="13.8" thickBot="1" x14ac:dyDescent="0.3">
      <c r="A20" s="75" t="s">
        <v>177</v>
      </c>
      <c r="B20" s="72"/>
      <c r="C20" s="73"/>
      <c r="D20" s="73"/>
      <c r="E20" s="73"/>
      <c r="F20" s="73"/>
      <c r="G20" s="76">
        <f>SUM(G8:G19)</f>
        <v>3107546.25</v>
      </c>
      <c r="H20" s="73"/>
    </row>
    <row r="21" spans="1:8" ht="13.8" thickTop="1" x14ac:dyDescent="0.25">
      <c r="A21" s="73"/>
      <c r="B21" s="69"/>
      <c r="C21" s="73"/>
      <c r="D21" s="73"/>
      <c r="E21" s="73"/>
      <c r="F21" s="73"/>
      <c r="G21" s="73"/>
      <c r="H21" s="73"/>
    </row>
    <row r="22" spans="1:8" x14ac:dyDescent="0.25">
      <c r="A22" s="75" t="s">
        <v>178</v>
      </c>
      <c r="B22" s="69"/>
      <c r="C22" s="73"/>
      <c r="D22" s="73"/>
      <c r="E22" s="73"/>
      <c r="F22" s="73"/>
      <c r="G22" s="69">
        <v>3107546.25</v>
      </c>
      <c r="H22" s="73"/>
    </row>
    <row r="23" spans="1:8" x14ac:dyDescent="0.25">
      <c r="A23" s="75" t="s">
        <v>179</v>
      </c>
      <c r="B23" s="73"/>
      <c r="C23" s="73"/>
      <c r="D23" s="73"/>
      <c r="E23" s="73"/>
      <c r="F23" s="73"/>
      <c r="G23" s="69"/>
      <c r="H23" s="73"/>
    </row>
    <row r="24" spans="1:8" x14ac:dyDescent="0.25">
      <c r="A24" s="73"/>
      <c r="B24" s="73"/>
      <c r="C24" s="73"/>
      <c r="D24" s="73"/>
      <c r="E24" s="73"/>
      <c r="F24" s="73"/>
      <c r="G24" s="73"/>
      <c r="H24" s="73"/>
    </row>
    <row r="25" spans="1:8" x14ac:dyDescent="0.25">
      <c r="A25" s="73"/>
      <c r="B25" s="73"/>
      <c r="C25" s="73"/>
      <c r="D25" s="73"/>
      <c r="E25" s="73"/>
      <c r="F25" s="73"/>
      <c r="G25" s="73"/>
      <c r="H25" s="73"/>
    </row>
    <row r="26" spans="1:8" ht="13.8" thickBot="1" x14ac:dyDescent="0.3">
      <c r="A26" s="75" t="s">
        <v>180</v>
      </c>
      <c r="B26" s="73"/>
      <c r="C26" s="73"/>
      <c r="D26" s="73"/>
      <c r="E26" s="73"/>
      <c r="F26" s="73"/>
      <c r="G26" s="77">
        <f>SUM(G22:G25)</f>
        <v>3107546.25</v>
      </c>
      <c r="H26" s="73"/>
    </row>
    <row r="27" spans="1:8" ht="15" thickTop="1" x14ac:dyDescent="0.3">
      <c r="A27" s="73"/>
      <c r="B27" s="73"/>
      <c r="C27" s="73"/>
      <c r="D27" s="73"/>
      <c r="E27" s="73"/>
      <c r="F27" s="73"/>
      <c r="G27" s="78"/>
      <c r="H27" s="73"/>
    </row>
    <row r="28" spans="1:8" x14ac:dyDescent="0.25">
      <c r="A28" s="75" t="s">
        <v>181</v>
      </c>
      <c r="B28" s="73"/>
      <c r="C28" s="73"/>
      <c r="D28" s="73"/>
      <c r="E28" s="73"/>
      <c r="F28" s="73"/>
      <c r="G28" s="79">
        <f>G20-G26</f>
        <v>0</v>
      </c>
      <c r="H28" s="73"/>
    </row>
    <row r="29" spans="1:8" x14ac:dyDescent="0.25">
      <c r="A29" s="73"/>
      <c r="B29" s="73"/>
      <c r="C29" s="73"/>
      <c r="D29" s="73"/>
      <c r="E29" s="73"/>
      <c r="F29" s="73"/>
      <c r="G29" s="73"/>
      <c r="H29" s="73"/>
    </row>
    <row r="30" spans="1:8" ht="11.25" customHeight="1" x14ac:dyDescent="0.25">
      <c r="A30" s="73"/>
      <c r="B30" s="73"/>
      <c r="C30" s="73"/>
      <c r="D30" s="73"/>
      <c r="E30" s="73"/>
      <c r="F30" s="73"/>
      <c r="G30" s="73"/>
      <c r="H30" s="73"/>
    </row>
    <row r="31" spans="1:8" x14ac:dyDescent="0.25">
      <c r="A31" s="80" t="s">
        <v>182</v>
      </c>
      <c r="B31" s="80"/>
      <c r="C31" s="80"/>
      <c r="D31" s="92"/>
      <c r="E31" s="80"/>
      <c r="F31" s="80"/>
      <c r="G31" s="80"/>
      <c r="H31" s="80"/>
    </row>
    <row r="32" spans="1:8" ht="14.4" x14ac:dyDescent="0.3">
      <c r="A32" s="80" t="s">
        <v>183</v>
      </c>
      <c r="B32" s="81">
        <f>1309150.73+1233.19+473.08+440.82+409.62+423.41+444.39+423.69+437.5-300000+297.5</f>
        <v>1013733.9299999999</v>
      </c>
      <c r="C32" s="80"/>
      <c r="D32" s="82">
        <f>B32/B34</f>
        <v>0.32621689535474446</v>
      </c>
      <c r="E32" s="69">
        <f>D32*0</f>
        <v>0</v>
      </c>
      <c r="F32" s="80"/>
      <c r="G32" s="80"/>
      <c r="H32" s="80"/>
    </row>
    <row r="33" spans="1:8" ht="14.4" x14ac:dyDescent="0.3">
      <c r="A33" s="80" t="s">
        <v>145</v>
      </c>
      <c r="B33" s="81">
        <f>2587505.7+161.1+934.2+870.69+668.14+140.75+836.11-500000+708.21+675.22+697.23+614.48</f>
        <v>2093811.8300000003</v>
      </c>
      <c r="C33" s="80" t="s">
        <v>184</v>
      </c>
      <c r="D33" s="82">
        <f>B33/B34</f>
        <v>0.67378310464525548</v>
      </c>
      <c r="E33" s="69">
        <f>-E32+0</f>
        <v>0</v>
      </c>
      <c r="F33" s="83" t="s">
        <v>189</v>
      </c>
      <c r="G33" s="84">
        <f>E33*0.88</f>
        <v>0</v>
      </c>
      <c r="H33" s="80"/>
    </row>
    <row r="34" spans="1:8" ht="15" thickBot="1" x14ac:dyDescent="0.35">
      <c r="A34" s="80"/>
      <c r="B34" s="85">
        <f>SUM(B32:B33)</f>
        <v>3107545.7600000002</v>
      </c>
      <c r="C34" s="80"/>
      <c r="D34" s="86">
        <f>SUM(D32:D33)</f>
        <v>1</v>
      </c>
      <c r="E34" s="87"/>
      <c r="F34" s="83" t="s">
        <v>190</v>
      </c>
      <c r="G34" s="84">
        <f>E33*0.12</f>
        <v>0</v>
      </c>
      <c r="H34" s="80"/>
    </row>
    <row r="35" spans="1:8" ht="13.8" thickTop="1" x14ac:dyDescent="0.25">
      <c r="A35" s="80"/>
      <c r="B35" s="80"/>
      <c r="C35" s="80"/>
      <c r="D35" s="80"/>
      <c r="E35" s="80"/>
      <c r="F35" s="88"/>
      <c r="G35" s="80"/>
      <c r="H35" s="80"/>
    </row>
    <row r="36" spans="1:8" x14ac:dyDescent="0.25">
      <c r="A36" s="83" t="s">
        <v>187</v>
      </c>
      <c r="B36" s="80"/>
      <c r="C36" s="80"/>
      <c r="D36" s="80"/>
      <c r="E36" s="80"/>
      <c r="F36" s="80"/>
      <c r="G36" s="80"/>
      <c r="H36" s="80"/>
    </row>
    <row r="38" spans="1:8" ht="14.4" x14ac:dyDescent="0.3">
      <c r="A38" s="89">
        <f>450581.43+140.75+145.48-200000+123.23+81.03+83.67+73.74</f>
        <v>251229.33</v>
      </c>
      <c r="B38" s="90">
        <f>A38/B33</f>
        <v>0.11998658446781245</v>
      </c>
    </row>
  </sheetData>
  <mergeCells count="4">
    <mergeCell ref="A1:H1"/>
    <mergeCell ref="A2:H2"/>
    <mergeCell ref="A3:H3"/>
    <mergeCell ref="A4:H4"/>
  </mergeCells>
  <pageMargins left="0.54" right="0.45" top="0.52" bottom="0.48" header="0.37" footer="0.22"/>
  <pageSetup fitToHeight="2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J39"/>
  <sheetViews>
    <sheetView zoomScaleNormal="100" workbookViewId="0">
      <selection activeCell="A3" sqref="A3:D3"/>
    </sheetView>
  </sheetViews>
  <sheetFormatPr defaultColWidth="9.109375" defaultRowHeight="15" x14ac:dyDescent="0.25"/>
  <cols>
    <col min="1" max="1" width="49.44140625" style="2" bestFit="1" customWidth="1"/>
    <col min="2" max="4" width="19.109375" style="2" customWidth="1"/>
    <col min="5" max="5" width="5.88671875" style="2" customWidth="1"/>
    <col min="6" max="7" width="9.109375" style="2"/>
    <col min="8" max="8" width="15.6640625" style="2" customWidth="1"/>
    <col min="9" max="9" width="3.5546875" style="2" customWidth="1"/>
    <col min="10" max="10" width="15.109375" style="2" bestFit="1" customWidth="1"/>
    <col min="11" max="16384" width="9.109375" style="2"/>
  </cols>
  <sheetData>
    <row r="1" spans="1:10" ht="15.6" x14ac:dyDescent="0.3">
      <c r="A1" s="96" t="s">
        <v>0</v>
      </c>
      <c r="B1" s="96"/>
      <c r="C1" s="96"/>
      <c r="D1" s="96"/>
      <c r="E1" s="1"/>
      <c r="F1" s="1"/>
    </row>
    <row r="2" spans="1:10" ht="15.6" x14ac:dyDescent="0.3">
      <c r="A2" s="96" t="s">
        <v>1</v>
      </c>
      <c r="B2" s="96"/>
      <c r="C2" s="96"/>
      <c r="D2" s="96"/>
      <c r="E2" s="1"/>
      <c r="F2" s="1"/>
    </row>
    <row r="3" spans="1:10" ht="15.6" x14ac:dyDescent="0.3">
      <c r="A3" s="96" t="s">
        <v>162</v>
      </c>
      <c r="B3" s="96"/>
      <c r="C3" s="96"/>
      <c r="D3" s="96"/>
      <c r="E3" s="1"/>
      <c r="F3" s="1"/>
    </row>
    <row r="4" spans="1:10" ht="15.6" x14ac:dyDescent="0.3">
      <c r="A4" s="60"/>
      <c r="B4" s="60"/>
      <c r="C4" s="60"/>
      <c r="D4" s="60"/>
      <c r="E4" s="1"/>
      <c r="F4" s="1"/>
    </row>
    <row r="5" spans="1:10" ht="15.6" x14ac:dyDescent="0.3">
      <c r="A5" s="60"/>
      <c r="B5" s="60"/>
      <c r="C5" s="60"/>
      <c r="D5" s="60"/>
      <c r="E5" s="1"/>
      <c r="F5" s="1"/>
    </row>
    <row r="6" spans="1:10" x14ac:dyDescent="0.25">
      <c r="A6" s="1"/>
      <c r="B6" s="1"/>
      <c r="C6" s="1"/>
      <c r="D6" s="4"/>
      <c r="E6" s="1"/>
      <c r="F6" s="1"/>
    </row>
    <row r="7" spans="1:10" x14ac:dyDescent="0.25">
      <c r="A7" s="1"/>
      <c r="B7" s="1"/>
      <c r="C7" s="1"/>
      <c r="D7" s="1"/>
      <c r="E7" s="1"/>
      <c r="F7" s="1"/>
      <c r="G7" s="5"/>
      <c r="H7" s="5"/>
      <c r="I7" s="5"/>
      <c r="J7" s="5"/>
    </row>
    <row r="8" spans="1:10" ht="15.6" x14ac:dyDescent="0.3">
      <c r="A8" s="6"/>
      <c r="B8" s="7"/>
      <c r="C8" s="7"/>
      <c r="D8" s="8"/>
      <c r="E8" s="1"/>
      <c r="F8" s="1"/>
      <c r="G8" s="5"/>
      <c r="H8" s="9"/>
      <c r="I8" s="5"/>
      <c r="J8" s="9"/>
    </row>
    <row r="9" spans="1:10" ht="15.6" x14ac:dyDescent="0.3">
      <c r="A9" s="6" t="s">
        <v>3</v>
      </c>
      <c r="B9" s="7">
        <v>915875.44</v>
      </c>
      <c r="C9" s="7"/>
      <c r="D9" s="8"/>
      <c r="E9" s="1"/>
      <c r="F9" s="1"/>
      <c r="G9" s="5"/>
      <c r="H9" s="9"/>
      <c r="I9" s="5"/>
      <c r="J9" s="9"/>
    </row>
    <row r="10" spans="1:10" ht="15.6" x14ac:dyDescent="0.3">
      <c r="A10" s="6" t="s">
        <v>4</v>
      </c>
      <c r="B10" s="10">
        <f>637849.98-384731.45+666666.67-1348348.85+666666.66+200000-35939.45-256591.11</f>
        <v>145572.4499999999</v>
      </c>
      <c r="C10" s="10"/>
      <c r="D10" s="8"/>
      <c r="E10" s="1"/>
      <c r="F10" s="1"/>
      <c r="G10" s="5"/>
      <c r="H10" s="9"/>
      <c r="I10" s="5"/>
      <c r="J10" s="9"/>
    </row>
    <row r="11" spans="1:10" ht="15.6" x14ac:dyDescent="0.3">
      <c r="A11" s="6" t="s">
        <v>5</v>
      </c>
      <c r="B11" s="13">
        <v>251155.59</v>
      </c>
      <c r="C11" s="14"/>
      <c r="D11" s="8"/>
      <c r="E11" s="1"/>
      <c r="F11" s="1"/>
      <c r="H11" s="12"/>
    </row>
    <row r="12" spans="1:10" ht="15.6" x14ac:dyDescent="0.3">
      <c r="A12" s="15" t="s">
        <v>9</v>
      </c>
      <c r="B12" s="7"/>
      <c r="C12" s="7">
        <f>SUM(B8:B11)</f>
        <v>1312603.48</v>
      </c>
      <c r="D12" s="8"/>
      <c r="E12" s="1"/>
      <c r="F12" s="1"/>
      <c r="G12" s="5"/>
      <c r="H12" s="16"/>
      <c r="I12" s="17"/>
      <c r="J12" s="16"/>
    </row>
    <row r="13" spans="1:10" x14ac:dyDescent="0.25">
      <c r="A13" s="1"/>
      <c r="B13" s="7"/>
      <c r="C13" s="7"/>
      <c r="D13" s="8"/>
      <c r="E13" s="1"/>
      <c r="F13" s="1"/>
    </row>
    <row r="14" spans="1:10" ht="15.6" x14ac:dyDescent="0.3">
      <c r="A14" s="6" t="s">
        <v>10</v>
      </c>
      <c r="B14" s="18">
        <v>397947.44</v>
      </c>
      <c r="C14" s="7"/>
      <c r="D14" s="8"/>
      <c r="E14" s="1"/>
      <c r="F14" s="1"/>
      <c r="H14" s="12"/>
    </row>
    <row r="15" spans="1:10" ht="15.6" x14ac:dyDescent="0.3">
      <c r="A15" s="6" t="s">
        <v>11</v>
      </c>
      <c r="B15" s="7">
        <f>-B10+635497.08</f>
        <v>489924.63000000006</v>
      </c>
      <c r="C15" s="10"/>
      <c r="D15" s="8"/>
      <c r="E15" s="1"/>
      <c r="F15" s="1"/>
      <c r="H15" s="12"/>
    </row>
    <row r="16" spans="1:10" ht="15.6" x14ac:dyDescent="0.3">
      <c r="A16" s="6" t="s">
        <v>12</v>
      </c>
      <c r="B16" s="7">
        <f>-B11+3106634.27</f>
        <v>2855478.68</v>
      </c>
      <c r="C16" s="11"/>
      <c r="D16" s="8"/>
      <c r="E16" s="1"/>
      <c r="F16" s="1"/>
      <c r="H16" s="12"/>
    </row>
    <row r="17" spans="1:8" ht="15.6" x14ac:dyDescent="0.3">
      <c r="A17" s="6" t="s">
        <v>13</v>
      </c>
      <c r="B17" s="19">
        <f>2800+136948.66+5175.15+1665</f>
        <v>146588.81</v>
      </c>
      <c r="C17" s="13"/>
      <c r="D17" s="8"/>
      <c r="E17" s="1"/>
      <c r="F17" s="1"/>
      <c r="H17" s="12"/>
    </row>
    <row r="18" spans="1:8" ht="15.6" x14ac:dyDescent="0.3">
      <c r="A18" s="6" t="s">
        <v>14</v>
      </c>
      <c r="B18" s="10"/>
      <c r="C18" s="10">
        <f>SUM(B14:B17)</f>
        <v>3889939.56</v>
      </c>
      <c r="D18" s="8"/>
      <c r="E18" s="1"/>
      <c r="F18" s="1"/>
      <c r="H18" s="12"/>
    </row>
    <row r="19" spans="1:8" ht="6" customHeight="1" x14ac:dyDescent="0.3">
      <c r="A19" s="6"/>
      <c r="B19" s="10"/>
      <c r="C19" s="10"/>
      <c r="D19" s="8"/>
      <c r="E19" s="1"/>
      <c r="F19" s="1"/>
      <c r="H19" s="12"/>
    </row>
    <row r="20" spans="1:8" ht="15.6" x14ac:dyDescent="0.3">
      <c r="A20" s="6" t="s">
        <v>15</v>
      </c>
      <c r="B20" s="7"/>
      <c r="C20" s="20">
        <f>C12+C18</f>
        <v>5202543.04</v>
      </c>
      <c r="D20" s="8"/>
      <c r="E20" s="1"/>
      <c r="F20" s="1"/>
      <c r="H20" s="12"/>
    </row>
    <row r="21" spans="1:8" ht="6" customHeight="1" x14ac:dyDescent="0.25">
      <c r="A21" s="1"/>
      <c r="B21" s="7"/>
      <c r="C21" s="7"/>
      <c r="D21" s="8"/>
      <c r="E21" s="1"/>
      <c r="F21" s="1"/>
    </row>
    <row r="22" spans="1:8" ht="15.6" x14ac:dyDescent="0.3">
      <c r="A22" s="6" t="s">
        <v>16</v>
      </c>
      <c r="B22" s="7"/>
      <c r="C22" s="10">
        <v>0</v>
      </c>
      <c r="D22" s="21"/>
      <c r="E22" s="1"/>
      <c r="F22" s="1"/>
      <c r="H22" s="22"/>
    </row>
    <row r="23" spans="1:8" ht="6" customHeight="1" x14ac:dyDescent="0.3">
      <c r="A23" s="6"/>
      <c r="B23" s="10"/>
      <c r="C23" s="10"/>
      <c r="D23" s="21"/>
      <c r="E23" s="1"/>
      <c r="F23" s="1"/>
      <c r="H23" s="22"/>
    </row>
    <row r="24" spans="1:8" ht="16.2" thickBot="1" x14ac:dyDescent="0.35">
      <c r="A24" s="6" t="s">
        <v>17</v>
      </c>
      <c r="B24" s="7"/>
      <c r="C24" s="23">
        <f>C12+B26</f>
        <v>5202543.04</v>
      </c>
      <c r="E24" s="1"/>
      <c r="F24" s="1"/>
      <c r="H24" s="22"/>
    </row>
    <row r="25" spans="1:8" ht="15.6" thickTop="1" x14ac:dyDescent="0.25">
      <c r="A25" s="1"/>
      <c r="B25" s="1"/>
      <c r="C25" s="1"/>
      <c r="D25" s="1"/>
      <c r="E25" s="1"/>
      <c r="F25" s="1"/>
    </row>
    <row r="26" spans="1:8" ht="16.2" thickBot="1" x14ac:dyDescent="0.35">
      <c r="A26" s="24" t="s">
        <v>18</v>
      </c>
      <c r="B26" s="25">
        <f>C18+C22</f>
        <v>3889939.56</v>
      </c>
      <c r="C26" s="26"/>
      <c r="D26" s="27"/>
      <c r="E26" s="26"/>
      <c r="F26" s="26"/>
    </row>
    <row r="27" spans="1:8" ht="16.2" thickTop="1" x14ac:dyDescent="0.3">
      <c r="A27" s="24"/>
      <c r="B27" s="10"/>
      <c r="C27" s="26"/>
      <c r="D27" s="27"/>
      <c r="E27" s="26"/>
      <c r="F27" s="26"/>
    </row>
    <row r="28" spans="1:8" ht="5.25" customHeight="1" x14ac:dyDescent="0.3">
      <c r="A28" s="24"/>
      <c r="B28" s="10"/>
      <c r="C28" s="26"/>
      <c r="D28" s="27"/>
      <c r="E28" s="26"/>
      <c r="F28" s="26"/>
    </row>
    <row r="29" spans="1:8" ht="15.6" x14ac:dyDescent="0.3">
      <c r="A29" s="28" t="s">
        <v>163</v>
      </c>
      <c r="B29" s="1"/>
      <c r="C29" s="1"/>
      <c r="D29" s="1"/>
      <c r="E29" s="1"/>
      <c r="F29" s="1"/>
    </row>
    <row r="30" spans="1:8" ht="15.6" x14ac:dyDescent="0.3">
      <c r="A30" s="29" t="s">
        <v>155</v>
      </c>
      <c r="B30" s="1"/>
      <c r="C30" s="1"/>
      <c r="D30" s="1"/>
      <c r="E30" s="1"/>
      <c r="F30" s="1"/>
    </row>
    <row r="31" spans="1:8" ht="15.6" x14ac:dyDescent="0.3">
      <c r="A31" s="6" t="s">
        <v>164</v>
      </c>
      <c r="B31" s="1"/>
      <c r="C31" s="1"/>
      <c r="D31" s="1"/>
      <c r="E31" s="1"/>
      <c r="F31" s="1"/>
    </row>
    <row r="32" spans="1:8" x14ac:dyDescent="0.25">
      <c r="A32" s="1"/>
      <c r="B32" s="1"/>
      <c r="C32" s="1"/>
      <c r="D32" s="1"/>
      <c r="E32" s="1"/>
      <c r="F32" s="1"/>
    </row>
    <row r="33" spans="1:6" ht="15.6" x14ac:dyDescent="0.3">
      <c r="A33" s="6" t="s">
        <v>22</v>
      </c>
      <c r="B33" s="1"/>
      <c r="C33" s="1"/>
      <c r="D33" s="1"/>
      <c r="E33" s="1"/>
      <c r="F33" s="1"/>
    </row>
    <row r="34" spans="1:6" ht="15.6" x14ac:dyDescent="0.3">
      <c r="A34" s="6" t="s">
        <v>23</v>
      </c>
      <c r="B34" s="7">
        <v>66645.75</v>
      </c>
      <c r="C34" s="10"/>
      <c r="D34" s="1"/>
      <c r="E34" s="1"/>
      <c r="F34" s="1"/>
    </row>
    <row r="35" spans="1:6" ht="15.6" x14ac:dyDescent="0.3">
      <c r="A35" s="6" t="s">
        <v>25</v>
      </c>
      <c r="B35" s="7"/>
      <c r="C35" s="10"/>
      <c r="D35" s="1"/>
      <c r="E35" s="1"/>
      <c r="F35" s="1"/>
    </row>
    <row r="36" spans="1:6" ht="15.6" x14ac:dyDescent="0.3">
      <c r="A36" s="6" t="s">
        <v>26</v>
      </c>
      <c r="B36" s="7">
        <f>924.75+8100+135000</f>
        <v>144024.75</v>
      </c>
      <c r="C36" s="10"/>
      <c r="D36" s="1"/>
      <c r="E36" s="1"/>
      <c r="F36" s="1"/>
    </row>
    <row r="37" spans="1:6" ht="15.6" hidden="1" x14ac:dyDescent="0.3">
      <c r="A37" s="6" t="s">
        <v>27</v>
      </c>
      <c r="B37" s="7"/>
      <c r="C37" s="10"/>
      <c r="D37" s="1"/>
      <c r="E37" s="1"/>
      <c r="F37" s="1"/>
    </row>
    <row r="38" spans="1:6" ht="15.6" thickBot="1" x14ac:dyDescent="0.3">
      <c r="A38" s="1"/>
      <c r="B38" s="30">
        <f>SUM(B34:B37)</f>
        <v>210670.5</v>
      </c>
      <c r="C38" s="31"/>
      <c r="D38" s="1"/>
      <c r="E38" s="1"/>
      <c r="F38" s="1"/>
    </row>
    <row r="39" spans="1:6" ht="15.6" thickTop="1" x14ac:dyDescent="0.25">
      <c r="A39" s="1"/>
      <c r="B39" s="1"/>
      <c r="C39" s="32"/>
      <c r="D39" s="1"/>
      <c r="E39" s="1"/>
      <c r="F39" s="1"/>
    </row>
  </sheetData>
  <mergeCells count="3">
    <mergeCell ref="A1:D1"/>
    <mergeCell ref="A2:D2"/>
    <mergeCell ref="A3:D3"/>
  </mergeCells>
  <pageMargins left="0.45" right="0.2" top="0.75" bottom="0.75" header="0.3" footer="0.3"/>
  <pageSetup scale="82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D29"/>
  <sheetViews>
    <sheetView workbookViewId="0">
      <selection activeCell="A3" sqref="A3:D3"/>
    </sheetView>
  </sheetViews>
  <sheetFormatPr defaultRowHeight="14.4" x14ac:dyDescent="0.3"/>
  <cols>
    <col min="1" max="1" width="24.33203125" customWidth="1"/>
    <col min="2" max="2" width="14.6640625" bestFit="1" customWidth="1"/>
    <col min="6" max="6" width="11.88671875" customWidth="1"/>
  </cols>
  <sheetData>
    <row r="1" spans="1:4" x14ac:dyDescent="0.3">
      <c r="A1" s="33" t="s">
        <v>165</v>
      </c>
    </row>
    <row r="2" spans="1:4" x14ac:dyDescent="0.3">
      <c r="A2" t="s">
        <v>29</v>
      </c>
      <c r="B2" s="34">
        <v>3962469.42</v>
      </c>
    </row>
    <row r="3" spans="1:4" x14ac:dyDescent="0.3">
      <c r="A3" t="s">
        <v>30</v>
      </c>
      <c r="B3" s="35">
        <v>0</v>
      </c>
    </row>
    <row r="4" spans="1:4" x14ac:dyDescent="0.3">
      <c r="A4" t="s">
        <v>31</v>
      </c>
      <c r="B4" s="34">
        <v>780524.56</v>
      </c>
    </row>
    <row r="5" spans="1:4" x14ac:dyDescent="0.3">
      <c r="A5" t="s">
        <v>32</v>
      </c>
      <c r="B5" s="34">
        <v>-794059.77</v>
      </c>
      <c r="D5" s="35"/>
    </row>
    <row r="6" spans="1:4" x14ac:dyDescent="0.3">
      <c r="A6" t="s">
        <v>33</v>
      </c>
      <c r="B6" s="34">
        <v>344419.37</v>
      </c>
      <c r="C6" t="s">
        <v>34</v>
      </c>
    </row>
    <row r="7" spans="1:4" x14ac:dyDescent="0.3">
      <c r="A7" t="s">
        <v>35</v>
      </c>
      <c r="B7" s="34">
        <f>-495132.62+-B20</f>
        <v>-238541.51</v>
      </c>
    </row>
    <row r="8" spans="1:4" x14ac:dyDescent="0.3">
      <c r="A8" t="s">
        <v>36</v>
      </c>
      <c r="B8" s="36">
        <v>430544.28</v>
      </c>
      <c r="C8" t="s">
        <v>37</v>
      </c>
    </row>
    <row r="9" spans="1:4" x14ac:dyDescent="0.3">
      <c r="A9" t="s">
        <v>38</v>
      </c>
      <c r="B9" s="34">
        <v>-310055.59000000003</v>
      </c>
    </row>
    <row r="10" spans="1:4" x14ac:dyDescent="0.3">
      <c r="A10" t="s">
        <v>39</v>
      </c>
      <c r="B10" s="34">
        <v>1051.06</v>
      </c>
    </row>
    <row r="11" spans="1:4" x14ac:dyDescent="0.3">
      <c r="A11" t="s">
        <v>40</v>
      </c>
      <c r="B11" s="34">
        <v>-300000</v>
      </c>
      <c r="C11" t="s">
        <v>152</v>
      </c>
    </row>
    <row r="12" spans="1:4" x14ac:dyDescent="0.3">
      <c r="A12" t="s">
        <v>16</v>
      </c>
      <c r="B12" s="34">
        <v>0</v>
      </c>
    </row>
    <row r="13" spans="1:4" x14ac:dyDescent="0.3">
      <c r="A13" t="s">
        <v>42</v>
      </c>
      <c r="B13" s="34">
        <f>-B25</f>
        <v>13587.74</v>
      </c>
    </row>
    <row r="14" spans="1:4" x14ac:dyDescent="0.3">
      <c r="A14" t="s">
        <v>43</v>
      </c>
      <c r="B14" s="37">
        <f>SUM(B2:B13)</f>
        <v>3889939.560000001</v>
      </c>
    </row>
    <row r="15" spans="1:4" x14ac:dyDescent="0.3">
      <c r="A15" t="s">
        <v>44</v>
      </c>
      <c r="B15" s="34">
        <v>-3889939.56</v>
      </c>
    </row>
    <row r="16" spans="1:4" ht="15" thickBot="1" x14ac:dyDescent="0.35">
      <c r="A16" t="s">
        <v>45</v>
      </c>
      <c r="B16" s="38">
        <f>SUM(B14:B15)</f>
        <v>0</v>
      </c>
    </row>
    <row r="17" spans="1:3" ht="15" thickTop="1" x14ac:dyDescent="0.3">
      <c r="B17" s="39"/>
    </row>
    <row r="18" spans="1:3" x14ac:dyDescent="0.3">
      <c r="A18" t="s">
        <v>29</v>
      </c>
      <c r="B18" s="35">
        <v>1507872.57</v>
      </c>
    </row>
    <row r="19" spans="1:3" x14ac:dyDescent="0.3">
      <c r="A19" t="s">
        <v>30</v>
      </c>
      <c r="B19" s="34"/>
    </row>
    <row r="20" spans="1:3" x14ac:dyDescent="0.3">
      <c r="A20" t="s">
        <v>46</v>
      </c>
      <c r="B20" s="34">
        <v>-256591.11</v>
      </c>
      <c r="C20" t="s">
        <v>47</v>
      </c>
    </row>
    <row r="21" spans="1:3" x14ac:dyDescent="0.3">
      <c r="A21" t="s">
        <v>33</v>
      </c>
      <c r="B21" s="34"/>
    </row>
    <row r="22" spans="1:3" x14ac:dyDescent="0.3">
      <c r="A22" t="s">
        <v>39</v>
      </c>
      <c r="B22" s="34">
        <v>83.67</v>
      </c>
    </row>
    <row r="23" spans="1:3" x14ac:dyDescent="0.3">
      <c r="A23" t="s">
        <v>40</v>
      </c>
      <c r="B23" s="34">
        <v>0</v>
      </c>
    </row>
    <row r="24" spans="1:3" x14ac:dyDescent="0.3">
      <c r="A24" t="s">
        <v>48</v>
      </c>
      <c r="B24" s="34">
        <v>74826.09</v>
      </c>
    </row>
    <row r="25" spans="1:3" x14ac:dyDescent="0.3">
      <c r="A25" t="s">
        <v>42</v>
      </c>
      <c r="B25" s="34">
        <v>-13587.74</v>
      </c>
    </row>
    <row r="26" spans="1:3" x14ac:dyDescent="0.3">
      <c r="A26" t="s">
        <v>51</v>
      </c>
      <c r="B26" s="40">
        <f>SUM(B18:B25)</f>
        <v>1312603.48</v>
      </c>
    </row>
    <row r="27" spans="1:3" x14ac:dyDescent="0.3">
      <c r="A27" t="s">
        <v>52</v>
      </c>
      <c r="B27" s="35">
        <v>-1312603.48</v>
      </c>
    </row>
    <row r="28" spans="1:3" ht="15" thickBot="1" x14ac:dyDescent="0.35">
      <c r="A28" t="s">
        <v>45</v>
      </c>
      <c r="B28" s="41">
        <f>SUM(B26:B27)</f>
        <v>0</v>
      </c>
    </row>
    <row r="29" spans="1:3" ht="15" thickTop="1" x14ac:dyDescent="0.3"/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transitionEvaluation="1" transitionEntry="1">
    <pageSetUpPr fitToPage="1"/>
  </sheetPr>
  <dimension ref="A1:H38"/>
  <sheetViews>
    <sheetView workbookViewId="0">
      <selection activeCell="A5" sqref="A5"/>
    </sheetView>
  </sheetViews>
  <sheetFormatPr defaultColWidth="9.109375" defaultRowHeight="13.2" x14ac:dyDescent="0.25"/>
  <cols>
    <col min="1" max="1" width="13.5546875" style="66" customWidth="1"/>
    <col min="2" max="2" width="14" style="66" bestFit="1" customWidth="1"/>
    <col min="3" max="3" width="2" style="66" customWidth="1"/>
    <col min="4" max="4" width="10.109375" style="66" customWidth="1"/>
    <col min="5" max="5" width="13.33203125" style="66" bestFit="1" customWidth="1"/>
    <col min="6" max="6" width="15.109375" style="66" customWidth="1"/>
    <col min="7" max="7" width="14.6640625" style="66" customWidth="1"/>
    <col min="8" max="8" width="14.5546875" style="66" bestFit="1" customWidth="1"/>
    <col min="9" max="9" width="18.44140625" style="66" customWidth="1"/>
    <col min="10" max="16384" width="9.109375" style="66"/>
  </cols>
  <sheetData>
    <row r="1" spans="1:8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8" x14ac:dyDescent="0.25">
      <c r="A2" s="97" t="s">
        <v>172</v>
      </c>
      <c r="B2" s="97"/>
      <c r="C2" s="97"/>
      <c r="D2" s="97"/>
      <c r="E2" s="97"/>
      <c r="F2" s="97"/>
      <c r="G2" s="97"/>
      <c r="H2" s="97"/>
    </row>
    <row r="3" spans="1:8" x14ac:dyDescent="0.25">
      <c r="A3" s="97" t="s">
        <v>173</v>
      </c>
      <c r="B3" s="97"/>
      <c r="C3" s="97"/>
      <c r="D3" s="97"/>
      <c r="E3" s="97"/>
      <c r="F3" s="97"/>
      <c r="G3" s="97"/>
      <c r="H3" s="97"/>
    </row>
    <row r="4" spans="1:8" x14ac:dyDescent="0.25">
      <c r="A4" s="97" t="s">
        <v>193</v>
      </c>
      <c r="B4" s="97"/>
      <c r="C4" s="97"/>
      <c r="D4" s="97"/>
      <c r="E4" s="97"/>
      <c r="F4" s="97"/>
      <c r="G4" s="97"/>
      <c r="H4" s="97"/>
    </row>
    <row r="5" spans="1:8" x14ac:dyDescent="0.25">
      <c r="A5" s="67"/>
      <c r="B5" s="67"/>
      <c r="C5" s="67"/>
      <c r="D5" s="67"/>
      <c r="E5" s="67"/>
      <c r="F5" s="67"/>
      <c r="G5" s="67"/>
      <c r="H5" s="67"/>
    </row>
    <row r="6" spans="1:8" x14ac:dyDescent="0.25">
      <c r="A6" s="67"/>
      <c r="B6" s="67"/>
      <c r="C6" s="67"/>
      <c r="D6" s="67"/>
      <c r="E6" s="67"/>
      <c r="F6" s="67"/>
      <c r="G6" s="67"/>
      <c r="H6" s="67"/>
    </row>
    <row r="7" spans="1:8" x14ac:dyDescent="0.25">
      <c r="A7" s="67"/>
      <c r="B7" s="67"/>
      <c r="C7" s="67"/>
      <c r="D7" s="67"/>
      <c r="E7" s="67"/>
      <c r="F7" s="67"/>
      <c r="G7" s="67"/>
      <c r="H7" s="67"/>
    </row>
    <row r="8" spans="1:8" x14ac:dyDescent="0.25">
      <c r="A8" s="68" t="s">
        <v>174</v>
      </c>
      <c r="B8" s="67"/>
      <c r="C8" s="67"/>
      <c r="D8" s="67"/>
      <c r="E8" s="67"/>
      <c r="F8" s="67"/>
      <c r="G8" s="69">
        <v>3406634.27</v>
      </c>
      <c r="H8" s="67"/>
    </row>
    <row r="9" spans="1:8" x14ac:dyDescent="0.25">
      <c r="A9" s="67"/>
      <c r="B9" s="67"/>
      <c r="C9" s="67"/>
      <c r="D9" s="67"/>
      <c r="E9" s="67"/>
      <c r="F9" s="67"/>
      <c r="G9" s="67"/>
      <c r="H9" s="67"/>
    </row>
    <row r="10" spans="1:8" x14ac:dyDescent="0.25">
      <c r="A10" s="68" t="s">
        <v>175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/>
      <c r="B11" s="69"/>
      <c r="C11" s="67"/>
      <c r="D11" s="67"/>
      <c r="E11" s="67"/>
      <c r="F11" s="67"/>
      <c r="G11" s="71"/>
      <c r="H11" s="67"/>
    </row>
    <row r="12" spans="1:8" x14ac:dyDescent="0.25">
      <c r="A12" s="67"/>
      <c r="B12" s="67"/>
      <c r="C12" s="67"/>
      <c r="D12" s="67"/>
      <c r="E12" s="67"/>
      <c r="F12" s="67"/>
      <c r="G12" s="67"/>
      <c r="H12" s="67"/>
    </row>
    <row r="13" spans="1:8" x14ac:dyDescent="0.25">
      <c r="A13" s="67"/>
      <c r="B13" s="67"/>
      <c r="C13" s="67"/>
      <c r="D13" s="67"/>
      <c r="E13" s="67"/>
      <c r="F13" s="67"/>
      <c r="G13" s="67"/>
      <c r="H13" s="67"/>
    </row>
    <row r="14" spans="1:8" x14ac:dyDescent="0.25">
      <c r="A14" s="68" t="s">
        <v>176</v>
      </c>
      <c r="B14" s="67"/>
      <c r="C14" s="67"/>
      <c r="D14" s="67"/>
      <c r="E14" s="67"/>
      <c r="F14" s="67"/>
      <c r="G14" s="67"/>
      <c r="H14" s="67"/>
    </row>
    <row r="15" spans="1:8" x14ac:dyDescent="0.25">
      <c r="A15" s="70"/>
      <c r="B15" s="72"/>
      <c r="C15" s="67"/>
      <c r="D15" s="67"/>
      <c r="E15" s="69"/>
      <c r="F15" s="67"/>
      <c r="G15" s="67"/>
      <c r="H15" s="67"/>
    </row>
    <row r="16" spans="1:8" x14ac:dyDescent="0.25">
      <c r="A16" s="67"/>
      <c r="B16" s="72"/>
      <c r="C16" s="67"/>
      <c r="D16" s="67"/>
      <c r="E16" s="69"/>
      <c r="F16" s="67"/>
      <c r="G16" s="67"/>
      <c r="H16" s="67"/>
    </row>
    <row r="17" spans="1:8" x14ac:dyDescent="0.25">
      <c r="A17" s="73"/>
      <c r="B17" s="72"/>
      <c r="C17" s="73"/>
      <c r="D17" s="73"/>
      <c r="E17" s="69"/>
      <c r="F17" s="73"/>
      <c r="G17" s="73"/>
      <c r="H17" s="73"/>
    </row>
    <row r="18" spans="1:8" x14ac:dyDescent="0.25">
      <c r="A18" s="91" t="s">
        <v>191</v>
      </c>
      <c r="B18" s="72" t="s">
        <v>192</v>
      </c>
      <c r="C18" s="73"/>
      <c r="D18" s="73"/>
      <c r="E18" s="69">
        <v>300000</v>
      </c>
      <c r="F18" s="73"/>
      <c r="G18" s="74">
        <f>-SUM(B18:E18)</f>
        <v>-300000</v>
      </c>
      <c r="H18" s="73"/>
    </row>
    <row r="19" spans="1:8" x14ac:dyDescent="0.25">
      <c r="A19" s="73"/>
      <c r="B19" s="72"/>
      <c r="C19" s="73"/>
      <c r="D19" s="73"/>
      <c r="E19" s="73"/>
      <c r="F19" s="73"/>
      <c r="G19" s="73"/>
      <c r="H19" s="73"/>
    </row>
    <row r="20" spans="1:8" ht="13.8" thickBot="1" x14ac:dyDescent="0.3">
      <c r="A20" s="75" t="s">
        <v>177</v>
      </c>
      <c r="B20" s="72"/>
      <c r="C20" s="73"/>
      <c r="D20" s="73"/>
      <c r="E20" s="73"/>
      <c r="F20" s="73"/>
      <c r="G20" s="76">
        <f>SUM(G8:G19)</f>
        <v>3106634.27</v>
      </c>
      <c r="H20" s="73"/>
    </row>
    <row r="21" spans="1:8" ht="13.8" thickTop="1" x14ac:dyDescent="0.25">
      <c r="A21" s="73"/>
      <c r="B21" s="69"/>
      <c r="C21" s="73"/>
      <c r="D21" s="73"/>
      <c r="E21" s="73"/>
      <c r="F21" s="73"/>
      <c r="G21" s="73"/>
      <c r="H21" s="73"/>
    </row>
    <row r="22" spans="1:8" x14ac:dyDescent="0.25">
      <c r="A22" s="75" t="s">
        <v>178</v>
      </c>
      <c r="B22" s="69"/>
      <c r="C22" s="73"/>
      <c r="D22" s="73"/>
      <c r="E22" s="73"/>
      <c r="F22" s="73"/>
      <c r="G22" s="69">
        <v>3106634.27</v>
      </c>
      <c r="H22" s="73"/>
    </row>
    <row r="23" spans="1:8" x14ac:dyDescent="0.25">
      <c r="A23" s="75" t="s">
        <v>179</v>
      </c>
      <c r="B23" s="73"/>
      <c r="C23" s="73"/>
      <c r="D23" s="73"/>
      <c r="E23" s="73"/>
      <c r="F23" s="73"/>
      <c r="G23" s="69"/>
      <c r="H23" s="73"/>
    </row>
    <row r="24" spans="1:8" x14ac:dyDescent="0.25">
      <c r="A24" s="73"/>
      <c r="B24" s="73"/>
      <c r="C24" s="73"/>
      <c r="D24" s="73"/>
      <c r="E24" s="73"/>
      <c r="F24" s="73"/>
      <c r="G24" s="73"/>
      <c r="H24" s="73"/>
    </row>
    <row r="25" spans="1:8" x14ac:dyDescent="0.25">
      <c r="A25" s="73"/>
      <c r="B25" s="73"/>
      <c r="C25" s="73"/>
      <c r="D25" s="73"/>
      <c r="E25" s="73"/>
      <c r="F25" s="73"/>
      <c r="G25" s="73"/>
      <c r="H25" s="73"/>
    </row>
    <row r="26" spans="1:8" ht="13.8" thickBot="1" x14ac:dyDescent="0.3">
      <c r="A26" s="75" t="s">
        <v>180</v>
      </c>
      <c r="B26" s="73"/>
      <c r="C26" s="73"/>
      <c r="D26" s="73"/>
      <c r="E26" s="73"/>
      <c r="F26" s="73"/>
      <c r="G26" s="77">
        <f>SUM(G22:G25)</f>
        <v>3106634.27</v>
      </c>
      <c r="H26" s="73"/>
    </row>
    <row r="27" spans="1:8" ht="15" thickTop="1" x14ac:dyDescent="0.3">
      <c r="A27" s="73"/>
      <c r="B27" s="73"/>
      <c r="C27" s="73"/>
      <c r="D27" s="73"/>
      <c r="E27" s="73"/>
      <c r="F27" s="73"/>
      <c r="G27" s="78"/>
      <c r="H27" s="73"/>
    </row>
    <row r="28" spans="1:8" x14ac:dyDescent="0.25">
      <c r="A28" s="75" t="s">
        <v>181</v>
      </c>
      <c r="B28" s="73"/>
      <c r="C28" s="73"/>
      <c r="D28" s="73"/>
      <c r="E28" s="73"/>
      <c r="F28" s="73"/>
      <c r="G28" s="79">
        <f>G20-G26</f>
        <v>0</v>
      </c>
      <c r="H28" s="73"/>
    </row>
    <row r="29" spans="1:8" x14ac:dyDescent="0.25">
      <c r="A29" s="73"/>
      <c r="B29" s="73"/>
      <c r="C29" s="73"/>
      <c r="D29" s="73"/>
      <c r="E29" s="73"/>
      <c r="F29" s="73"/>
      <c r="G29" s="73"/>
      <c r="H29" s="73"/>
    </row>
    <row r="30" spans="1:8" ht="11.25" customHeight="1" x14ac:dyDescent="0.25">
      <c r="A30" s="73"/>
      <c r="B30" s="73"/>
      <c r="C30" s="73"/>
      <c r="D30" s="73"/>
      <c r="E30" s="73"/>
      <c r="F30" s="73"/>
      <c r="G30" s="73"/>
      <c r="H30" s="73"/>
    </row>
    <row r="31" spans="1:8" x14ac:dyDescent="0.25">
      <c r="A31" s="80" t="s">
        <v>182</v>
      </c>
      <c r="B31" s="80"/>
      <c r="C31" s="80"/>
      <c r="D31" s="92"/>
      <c r="E31" s="80"/>
      <c r="F31" s="80"/>
      <c r="G31" s="80"/>
      <c r="H31" s="80"/>
    </row>
    <row r="32" spans="1:8" ht="14.4" x14ac:dyDescent="0.3">
      <c r="A32" s="80" t="s">
        <v>183</v>
      </c>
      <c r="B32" s="81">
        <f>1309150.73+1233.19+473.08+440.82+409.62+423.41+444.39+423.69+437.5-300000</f>
        <v>1013436.4299999999</v>
      </c>
      <c r="C32" s="80"/>
      <c r="D32" s="82">
        <f>B32/B34</f>
        <v>0.32621689641190982</v>
      </c>
      <c r="E32" s="69">
        <f>D32*0</f>
        <v>0</v>
      </c>
      <c r="F32" s="80"/>
      <c r="G32" s="80"/>
      <c r="H32" s="80"/>
    </row>
    <row r="33" spans="1:8" ht="14.4" x14ac:dyDescent="0.3">
      <c r="A33" s="80" t="s">
        <v>145</v>
      </c>
      <c r="B33" s="81">
        <f>2587505.7+161.1+934.2+870.69+668.14+140.75+836.11-500000+708.21+675.22+697.23</f>
        <v>2093197.3500000003</v>
      </c>
      <c r="C33" s="80" t="s">
        <v>184</v>
      </c>
      <c r="D33" s="82">
        <f>B33/B34</f>
        <v>0.67378310358809013</v>
      </c>
      <c r="E33" s="69">
        <f>-E32+0</f>
        <v>0</v>
      </c>
      <c r="F33" s="83" t="s">
        <v>189</v>
      </c>
      <c r="G33" s="84">
        <f>E33*0.88</f>
        <v>0</v>
      </c>
      <c r="H33" s="80"/>
    </row>
    <row r="34" spans="1:8" ht="15" thickBot="1" x14ac:dyDescent="0.35">
      <c r="A34" s="80"/>
      <c r="B34" s="85">
        <f>SUM(B32:B33)</f>
        <v>3106633.7800000003</v>
      </c>
      <c r="C34" s="80"/>
      <c r="D34" s="86">
        <f>SUM(D32:D33)</f>
        <v>1</v>
      </c>
      <c r="E34" s="87"/>
      <c r="F34" s="83" t="s">
        <v>190</v>
      </c>
      <c r="G34" s="84">
        <f>E33*0.12</f>
        <v>0</v>
      </c>
      <c r="H34" s="80"/>
    </row>
    <row r="35" spans="1:8" ht="13.8" thickTop="1" x14ac:dyDescent="0.25">
      <c r="A35" s="80"/>
      <c r="B35" s="80"/>
      <c r="C35" s="80"/>
      <c r="D35" s="80"/>
      <c r="E35" s="80"/>
      <c r="F35" s="88"/>
      <c r="G35" s="80"/>
      <c r="H35" s="80"/>
    </row>
    <row r="36" spans="1:8" x14ac:dyDescent="0.25">
      <c r="A36" s="83" t="s">
        <v>187</v>
      </c>
      <c r="B36" s="80"/>
      <c r="C36" s="80"/>
      <c r="D36" s="80"/>
      <c r="E36" s="80"/>
      <c r="F36" s="80"/>
      <c r="G36" s="80"/>
      <c r="H36" s="80"/>
    </row>
    <row r="38" spans="1:8" ht="14.4" x14ac:dyDescent="0.3">
      <c r="A38" s="89">
        <f>450581.43+140.75+145.48-200000+123.23+81.03+83.67</f>
        <v>251155.59</v>
      </c>
      <c r="B38" s="90">
        <f>A38/B33</f>
        <v>0.11998657938297121</v>
      </c>
    </row>
  </sheetData>
  <mergeCells count="4">
    <mergeCell ref="A1:H1"/>
    <mergeCell ref="A2:H2"/>
    <mergeCell ref="A3:H3"/>
    <mergeCell ref="A4:H4"/>
  </mergeCells>
  <pageMargins left="0.54" right="0.45" top="0.52" bottom="0.48" header="0.37" footer="0.22"/>
  <pageSetup fitToHeight="2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J39"/>
  <sheetViews>
    <sheetView zoomScaleNormal="100" workbookViewId="0">
      <selection activeCell="A3" sqref="A3:D3"/>
    </sheetView>
  </sheetViews>
  <sheetFormatPr defaultColWidth="9.109375" defaultRowHeight="15" x14ac:dyDescent="0.25"/>
  <cols>
    <col min="1" max="1" width="49.44140625" style="2" bestFit="1" customWidth="1"/>
    <col min="2" max="4" width="19.109375" style="2" customWidth="1"/>
    <col min="5" max="5" width="5.88671875" style="2" customWidth="1"/>
    <col min="6" max="7" width="9.109375" style="2"/>
    <col min="8" max="8" width="15.6640625" style="2" customWidth="1"/>
    <col min="9" max="9" width="3.5546875" style="2" customWidth="1"/>
    <col min="10" max="10" width="15.109375" style="2" bestFit="1" customWidth="1"/>
    <col min="11" max="16384" width="9.109375" style="2"/>
  </cols>
  <sheetData>
    <row r="1" spans="1:10" ht="15.6" x14ac:dyDescent="0.3">
      <c r="A1" s="96" t="s">
        <v>0</v>
      </c>
      <c r="B1" s="96"/>
      <c r="C1" s="96"/>
      <c r="D1" s="96"/>
      <c r="E1" s="1"/>
      <c r="F1" s="1"/>
    </row>
    <row r="2" spans="1:10" ht="15.6" x14ac:dyDescent="0.3">
      <c r="A2" s="96" t="s">
        <v>1</v>
      </c>
      <c r="B2" s="96"/>
      <c r="C2" s="96"/>
      <c r="D2" s="96"/>
      <c r="E2" s="1"/>
      <c r="F2" s="1"/>
    </row>
    <row r="3" spans="1:10" ht="15.6" x14ac:dyDescent="0.3">
      <c r="A3" s="96" t="s">
        <v>166</v>
      </c>
      <c r="B3" s="96"/>
      <c r="C3" s="96"/>
      <c r="D3" s="96"/>
      <c r="E3" s="1"/>
      <c r="F3" s="1"/>
    </row>
    <row r="4" spans="1:10" ht="15.6" x14ac:dyDescent="0.3">
      <c r="A4" s="60"/>
      <c r="B4" s="60"/>
      <c r="C4" s="60"/>
      <c r="D4" s="60"/>
      <c r="E4" s="1"/>
      <c r="F4" s="1"/>
    </row>
    <row r="5" spans="1:10" ht="15.6" x14ac:dyDescent="0.3">
      <c r="A5" s="60"/>
      <c r="B5" s="60"/>
      <c r="C5" s="60"/>
      <c r="D5" s="60"/>
      <c r="E5" s="1"/>
      <c r="F5" s="1"/>
    </row>
    <row r="6" spans="1:10" x14ac:dyDescent="0.25">
      <c r="A6" s="1"/>
      <c r="B6" s="1"/>
      <c r="C6" s="1"/>
      <c r="D6" s="4"/>
      <c r="E6" s="1"/>
      <c r="F6" s="1"/>
    </row>
    <row r="7" spans="1:10" x14ac:dyDescent="0.25">
      <c r="A7" s="1"/>
      <c r="B7" s="1"/>
      <c r="C7" s="1"/>
      <c r="D7" s="1"/>
      <c r="E7" s="1"/>
      <c r="F7" s="1"/>
      <c r="G7" s="5"/>
      <c r="H7" s="5"/>
      <c r="I7" s="5"/>
      <c r="J7" s="5"/>
    </row>
    <row r="8" spans="1:10" ht="15.6" x14ac:dyDescent="0.3">
      <c r="A8" s="6"/>
      <c r="B8" s="7"/>
      <c r="C8" s="7"/>
      <c r="D8" s="8"/>
      <c r="E8" s="1"/>
      <c r="F8" s="1"/>
      <c r="G8" s="5"/>
      <c r="H8" s="9"/>
      <c r="I8" s="5"/>
      <c r="J8" s="9"/>
    </row>
    <row r="9" spans="1:10" ht="15.6" x14ac:dyDescent="0.3">
      <c r="A9" s="6" t="s">
        <v>3</v>
      </c>
      <c r="B9" s="7">
        <v>854637.09</v>
      </c>
      <c r="C9" s="7"/>
      <c r="D9" s="8"/>
      <c r="E9" s="1"/>
      <c r="F9" s="1"/>
      <c r="G9" s="5"/>
      <c r="H9" s="9"/>
      <c r="I9" s="5"/>
      <c r="J9" s="9"/>
    </row>
    <row r="10" spans="1:10" ht="15.6" x14ac:dyDescent="0.3">
      <c r="A10" s="6" t="s">
        <v>4</v>
      </c>
      <c r="B10" s="10">
        <f>637849.98-384731.45+666666.67-1348348.85+666666.66+200000-35939.45</f>
        <v>402163.55999999988</v>
      </c>
      <c r="C10" s="10"/>
      <c r="D10" s="8"/>
      <c r="E10" s="1"/>
      <c r="F10" s="1"/>
      <c r="G10" s="5"/>
      <c r="H10" s="9"/>
      <c r="I10" s="5"/>
      <c r="J10" s="9"/>
    </row>
    <row r="11" spans="1:10" ht="15.6" x14ac:dyDescent="0.3">
      <c r="A11" s="6" t="s">
        <v>5</v>
      </c>
      <c r="B11" s="13">
        <v>251071.92</v>
      </c>
      <c r="C11" s="14"/>
      <c r="D11" s="8"/>
      <c r="E11" s="1"/>
      <c r="F11" s="1"/>
      <c r="H11" s="12"/>
    </row>
    <row r="12" spans="1:10" ht="15.6" x14ac:dyDescent="0.3">
      <c r="A12" s="15" t="s">
        <v>9</v>
      </c>
      <c r="B12" s="7"/>
      <c r="C12" s="7">
        <f>SUM(B8:B11)</f>
        <v>1507872.5699999998</v>
      </c>
      <c r="D12" s="8"/>
      <c r="E12" s="1"/>
      <c r="F12" s="1"/>
      <c r="G12" s="5"/>
      <c r="H12" s="16"/>
      <c r="I12" s="17"/>
      <c r="J12" s="16"/>
    </row>
    <row r="13" spans="1:10" x14ac:dyDescent="0.25">
      <c r="A13" s="1"/>
      <c r="B13" s="7"/>
      <c r="C13" s="7"/>
      <c r="D13" s="8"/>
      <c r="E13" s="1"/>
      <c r="F13" s="1"/>
    </row>
    <row r="14" spans="1:10" ht="15.6" x14ac:dyDescent="0.3">
      <c r="A14" s="6" t="s">
        <v>10</v>
      </c>
      <c r="B14" s="18">
        <v>411482.65</v>
      </c>
      <c r="C14" s="7"/>
      <c r="D14" s="8"/>
      <c r="E14" s="1"/>
      <c r="F14" s="1"/>
      <c r="H14" s="12"/>
    </row>
    <row r="15" spans="1:10" ht="15.6" x14ac:dyDescent="0.3">
      <c r="A15" s="6" t="s">
        <v>11</v>
      </c>
      <c r="B15" s="7">
        <f>-B10+772622.59</f>
        <v>370459.03000000009</v>
      </c>
      <c r="C15" s="10"/>
      <c r="D15" s="8"/>
      <c r="E15" s="1"/>
      <c r="F15" s="1"/>
      <c r="H15" s="12"/>
    </row>
    <row r="16" spans="1:10" ht="15.6" x14ac:dyDescent="0.3">
      <c r="A16" s="6" t="s">
        <v>12</v>
      </c>
      <c r="B16" s="7">
        <f>-B11+3405499.54</f>
        <v>3154427.62</v>
      </c>
      <c r="C16" s="11"/>
      <c r="D16" s="8"/>
      <c r="E16" s="1"/>
      <c r="F16" s="1"/>
      <c r="H16" s="12"/>
    </row>
    <row r="17" spans="1:8" ht="15.6" x14ac:dyDescent="0.3">
      <c r="A17" s="6" t="s">
        <v>13</v>
      </c>
      <c r="B17" s="19">
        <f>2800+16459.97+5175.15+1665</f>
        <v>26100.120000000003</v>
      </c>
      <c r="C17" s="13"/>
      <c r="D17" s="8"/>
      <c r="E17" s="1"/>
      <c r="F17" s="1"/>
      <c r="H17" s="12"/>
    </row>
    <row r="18" spans="1:8" ht="15.6" x14ac:dyDescent="0.3">
      <c r="A18" s="6" t="s">
        <v>14</v>
      </c>
      <c r="B18" s="10"/>
      <c r="C18" s="10">
        <f>SUM(B14:B17)</f>
        <v>3962469.4200000004</v>
      </c>
      <c r="D18" s="8"/>
      <c r="E18" s="1"/>
      <c r="F18" s="1"/>
      <c r="H18" s="12"/>
    </row>
    <row r="19" spans="1:8" ht="6" customHeight="1" x14ac:dyDescent="0.3">
      <c r="A19" s="6"/>
      <c r="B19" s="10"/>
      <c r="C19" s="10"/>
      <c r="D19" s="8"/>
      <c r="E19" s="1"/>
      <c r="F19" s="1"/>
      <c r="H19" s="12"/>
    </row>
    <row r="20" spans="1:8" ht="15.6" x14ac:dyDescent="0.3">
      <c r="A20" s="6" t="s">
        <v>15</v>
      </c>
      <c r="B20" s="7"/>
      <c r="C20" s="20">
        <f>C12+C18</f>
        <v>5470341.9900000002</v>
      </c>
      <c r="D20" s="8"/>
      <c r="E20" s="1"/>
      <c r="F20" s="1"/>
      <c r="H20" s="12"/>
    </row>
    <row r="21" spans="1:8" ht="6" customHeight="1" x14ac:dyDescent="0.25">
      <c r="A21" s="1"/>
      <c r="B21" s="7"/>
      <c r="C21" s="7"/>
      <c r="D21" s="8"/>
      <c r="E21" s="1"/>
      <c r="F21" s="1"/>
    </row>
    <row r="22" spans="1:8" ht="15.6" x14ac:dyDescent="0.3">
      <c r="A22" s="6" t="s">
        <v>16</v>
      </c>
      <c r="B22" s="7"/>
      <c r="C22" s="10">
        <v>0</v>
      </c>
      <c r="D22" s="21"/>
      <c r="E22" s="1"/>
      <c r="F22" s="1"/>
      <c r="H22" s="22"/>
    </row>
    <row r="23" spans="1:8" ht="6" customHeight="1" x14ac:dyDescent="0.3">
      <c r="A23" s="6"/>
      <c r="B23" s="10"/>
      <c r="C23" s="10"/>
      <c r="D23" s="21"/>
      <c r="E23" s="1"/>
      <c r="F23" s="1"/>
      <c r="H23" s="22"/>
    </row>
    <row r="24" spans="1:8" ht="16.2" thickBot="1" x14ac:dyDescent="0.35">
      <c r="A24" s="6" t="s">
        <v>17</v>
      </c>
      <c r="B24" s="7"/>
      <c r="C24" s="23">
        <f>C12+B26</f>
        <v>5470341.9900000002</v>
      </c>
      <c r="E24" s="1"/>
      <c r="F24" s="1"/>
      <c r="H24" s="22"/>
    </row>
    <row r="25" spans="1:8" ht="15.6" thickTop="1" x14ac:dyDescent="0.25">
      <c r="A25" s="1"/>
      <c r="B25" s="1"/>
      <c r="C25" s="1"/>
      <c r="D25" s="1"/>
      <c r="E25" s="1"/>
      <c r="F25" s="1"/>
    </row>
    <row r="26" spans="1:8" ht="16.2" thickBot="1" x14ac:dyDescent="0.35">
      <c r="A26" s="24" t="s">
        <v>18</v>
      </c>
      <c r="B26" s="25">
        <f>C18+C22</f>
        <v>3962469.4200000004</v>
      </c>
      <c r="C26" s="26"/>
      <c r="D26" s="27"/>
      <c r="E26" s="26"/>
      <c r="F26" s="26"/>
    </row>
    <row r="27" spans="1:8" ht="16.2" thickTop="1" x14ac:dyDescent="0.3">
      <c r="A27" s="24"/>
      <c r="B27" s="10"/>
      <c r="C27" s="26"/>
      <c r="D27" s="27"/>
      <c r="E27" s="26"/>
      <c r="F27" s="26"/>
    </row>
    <row r="28" spans="1:8" ht="5.25" customHeight="1" x14ac:dyDescent="0.3">
      <c r="A28" s="24"/>
      <c r="B28" s="10"/>
      <c r="C28" s="26"/>
      <c r="D28" s="27"/>
      <c r="E28" s="26"/>
      <c r="F28" s="26"/>
    </row>
    <row r="29" spans="1:8" ht="15.6" x14ac:dyDescent="0.3">
      <c r="A29" s="28" t="s">
        <v>167</v>
      </c>
      <c r="B29" s="1"/>
      <c r="C29" s="1"/>
      <c r="D29" s="1"/>
      <c r="E29" s="1"/>
      <c r="F29" s="1"/>
    </row>
    <row r="30" spans="1:8" ht="15.6" x14ac:dyDescent="0.3">
      <c r="A30" s="29" t="s">
        <v>168</v>
      </c>
      <c r="B30" s="1"/>
      <c r="C30" s="1"/>
      <c r="D30" s="1"/>
      <c r="E30" s="1"/>
      <c r="F30" s="1"/>
    </row>
    <row r="31" spans="1:8" ht="15.6" x14ac:dyDescent="0.3">
      <c r="A31" s="6" t="s">
        <v>169</v>
      </c>
      <c r="B31" s="1"/>
      <c r="C31" s="1"/>
      <c r="D31" s="1"/>
      <c r="E31" s="1"/>
      <c r="F31" s="1"/>
    </row>
    <row r="32" spans="1:8" x14ac:dyDescent="0.25">
      <c r="A32" s="1"/>
      <c r="B32" s="1"/>
      <c r="C32" s="1"/>
      <c r="D32" s="1"/>
      <c r="E32" s="1"/>
      <c r="F32" s="1"/>
    </row>
    <row r="33" spans="1:6" ht="15.6" x14ac:dyDescent="0.3">
      <c r="A33" s="6" t="s">
        <v>22</v>
      </c>
      <c r="B33" s="1"/>
      <c r="C33" s="1"/>
      <c r="D33" s="1"/>
      <c r="E33" s="1"/>
      <c r="F33" s="1"/>
    </row>
    <row r="34" spans="1:6" ht="15.6" x14ac:dyDescent="0.3">
      <c r="A34" s="6" t="s">
        <v>23</v>
      </c>
      <c r="B34" s="7">
        <v>66645.75</v>
      </c>
      <c r="C34" s="10"/>
      <c r="D34" s="1"/>
      <c r="E34" s="1"/>
      <c r="F34" s="1"/>
    </row>
    <row r="35" spans="1:6" ht="15.6" x14ac:dyDescent="0.3">
      <c r="A35" s="6" t="s">
        <v>25</v>
      </c>
      <c r="B35" s="7">
        <f>4179.6+340239.77</f>
        <v>344419.37</v>
      </c>
      <c r="C35" s="10"/>
      <c r="D35" s="1"/>
      <c r="E35" s="1"/>
      <c r="F35" s="1"/>
    </row>
    <row r="36" spans="1:6" ht="15.6" x14ac:dyDescent="0.3">
      <c r="A36" s="6" t="s">
        <v>26</v>
      </c>
      <c r="B36" s="7">
        <f>924.75+8100</f>
        <v>9024.75</v>
      </c>
      <c r="C36" s="10"/>
      <c r="D36" s="1"/>
      <c r="E36" s="1"/>
      <c r="F36" s="1"/>
    </row>
    <row r="37" spans="1:6" ht="15.6" hidden="1" x14ac:dyDescent="0.3">
      <c r="A37" s="6" t="s">
        <v>27</v>
      </c>
      <c r="B37" s="7"/>
      <c r="C37" s="10"/>
      <c r="D37" s="1"/>
      <c r="E37" s="1"/>
      <c r="F37" s="1"/>
    </row>
    <row r="38" spans="1:6" ht="15.6" thickBot="1" x14ac:dyDescent="0.3">
      <c r="A38" s="1"/>
      <c r="B38" s="30">
        <f>SUM(B34:B37)</f>
        <v>420089.87</v>
      </c>
      <c r="C38" s="31"/>
      <c r="D38" s="1"/>
      <c r="E38" s="1"/>
      <c r="F38" s="1"/>
    </row>
    <row r="39" spans="1:6" ht="15.6" thickTop="1" x14ac:dyDescent="0.25">
      <c r="A39" s="1"/>
      <c r="B39" s="1"/>
      <c r="C39" s="32"/>
      <c r="D39" s="1"/>
      <c r="E39" s="1"/>
      <c r="F39" s="1"/>
    </row>
  </sheetData>
  <mergeCells count="3">
    <mergeCell ref="A1:D1"/>
    <mergeCell ref="A2:D2"/>
    <mergeCell ref="A3:D3"/>
  </mergeCells>
  <pageMargins left="0.45" right="0.2" top="0.75" bottom="0.75" header="0.3" footer="0.3"/>
  <pageSetup scale="81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D29"/>
  <sheetViews>
    <sheetView topLeftCell="A4" workbookViewId="0">
      <selection activeCell="F25" sqref="F25"/>
    </sheetView>
  </sheetViews>
  <sheetFormatPr defaultRowHeight="14.4" x14ac:dyDescent="0.3"/>
  <cols>
    <col min="1" max="1" width="24.33203125" customWidth="1"/>
    <col min="2" max="2" width="14.6640625" bestFit="1" customWidth="1"/>
    <col min="6" max="6" width="11.88671875" customWidth="1"/>
  </cols>
  <sheetData>
    <row r="1" spans="1:4" x14ac:dyDescent="0.3">
      <c r="A1" s="33" t="s">
        <v>170</v>
      </c>
    </row>
    <row r="2" spans="1:4" x14ac:dyDescent="0.3">
      <c r="A2" t="s">
        <v>29</v>
      </c>
      <c r="B2" s="34">
        <v>4402557.88</v>
      </c>
    </row>
    <row r="3" spans="1:4" x14ac:dyDescent="0.3">
      <c r="A3" t="s">
        <v>30</v>
      </c>
      <c r="B3" s="35">
        <v>0</v>
      </c>
    </row>
    <row r="4" spans="1:4" x14ac:dyDescent="0.3">
      <c r="A4" t="s">
        <v>31</v>
      </c>
      <c r="B4" s="34">
        <v>639247.07999999996</v>
      </c>
    </row>
    <row r="5" spans="1:4" x14ac:dyDescent="0.3">
      <c r="A5" t="s">
        <v>32</v>
      </c>
      <c r="B5" s="34">
        <v>-679913.45</v>
      </c>
      <c r="D5" s="35"/>
    </row>
    <row r="6" spans="1:4" x14ac:dyDescent="0.3">
      <c r="A6" t="s">
        <v>33</v>
      </c>
      <c r="B6" s="34">
        <v>0</v>
      </c>
      <c r="C6" t="s">
        <v>34</v>
      </c>
    </row>
    <row r="7" spans="1:4" x14ac:dyDescent="0.3">
      <c r="A7" t="s">
        <v>35</v>
      </c>
      <c r="B7" s="34">
        <f>-444365.29+-B20</f>
        <v>-408425.83999999997</v>
      </c>
    </row>
    <row r="8" spans="1:4" x14ac:dyDescent="0.3">
      <c r="A8" t="s">
        <v>36</v>
      </c>
      <c r="B8" s="36">
        <v>321309.73</v>
      </c>
      <c r="C8" t="s">
        <v>37</v>
      </c>
    </row>
    <row r="9" spans="1:4" x14ac:dyDescent="0.3">
      <c r="A9" t="s">
        <v>38</v>
      </c>
      <c r="B9" s="34">
        <v>-313323.82</v>
      </c>
    </row>
    <row r="10" spans="1:4" x14ac:dyDescent="0.3">
      <c r="A10" t="s">
        <v>39</v>
      </c>
      <c r="B10" s="34">
        <v>1017.89</v>
      </c>
    </row>
    <row r="11" spans="1:4" x14ac:dyDescent="0.3">
      <c r="A11" t="s">
        <v>40</v>
      </c>
      <c r="B11" s="34">
        <v>0</v>
      </c>
    </row>
    <row r="12" spans="1:4" x14ac:dyDescent="0.3">
      <c r="A12" t="s">
        <v>16</v>
      </c>
      <c r="B12" s="34">
        <v>0</v>
      </c>
    </row>
    <row r="13" spans="1:4" x14ac:dyDescent="0.3">
      <c r="A13" t="s">
        <v>42</v>
      </c>
      <c r="B13" s="34">
        <v>0</v>
      </c>
    </row>
    <row r="14" spans="1:4" x14ac:dyDescent="0.3">
      <c r="A14" t="s">
        <v>43</v>
      </c>
      <c r="B14" s="37">
        <f>SUM(B2:B13)</f>
        <v>3962469.4700000007</v>
      </c>
    </row>
    <row r="15" spans="1:4" x14ac:dyDescent="0.3">
      <c r="A15" t="s">
        <v>44</v>
      </c>
      <c r="B15" s="34">
        <v>-3962469.42</v>
      </c>
    </row>
    <row r="16" spans="1:4" ht="15" thickBot="1" x14ac:dyDescent="0.35">
      <c r="A16" t="s">
        <v>45</v>
      </c>
      <c r="B16" s="38">
        <f>SUM(B14:B15)</f>
        <v>5.000000074505806E-2</v>
      </c>
    </row>
    <row r="17" spans="1:3" ht="15" thickTop="1" x14ac:dyDescent="0.3">
      <c r="B17" s="39"/>
    </row>
    <row r="18" spans="1:3" x14ac:dyDescent="0.3">
      <c r="A18" t="s">
        <v>29</v>
      </c>
      <c r="B18" s="35">
        <v>1498047.63</v>
      </c>
    </row>
    <row r="19" spans="1:3" x14ac:dyDescent="0.3">
      <c r="A19" t="s">
        <v>30</v>
      </c>
      <c r="B19" s="34"/>
    </row>
    <row r="20" spans="1:3" x14ac:dyDescent="0.3">
      <c r="A20" t="s">
        <v>46</v>
      </c>
      <c r="B20" s="34">
        <v>-35939.449999999997</v>
      </c>
      <c r="C20" t="s">
        <v>47</v>
      </c>
    </row>
    <row r="21" spans="1:3" x14ac:dyDescent="0.3">
      <c r="A21" t="s">
        <v>33</v>
      </c>
      <c r="B21" s="34"/>
    </row>
    <row r="22" spans="1:3" x14ac:dyDescent="0.3">
      <c r="A22" t="s">
        <v>39</v>
      </c>
      <c r="B22" s="34">
        <v>81.03</v>
      </c>
    </row>
    <row r="23" spans="1:3" x14ac:dyDescent="0.3">
      <c r="A23" t="s">
        <v>40</v>
      </c>
      <c r="B23" s="34">
        <v>0</v>
      </c>
    </row>
    <row r="24" spans="1:3" x14ac:dyDescent="0.3">
      <c r="A24" t="s">
        <v>48</v>
      </c>
      <c r="B24" s="34">
        <v>34746.769999999997</v>
      </c>
    </row>
    <row r="25" spans="1:3" x14ac:dyDescent="0.3">
      <c r="A25" t="s">
        <v>42</v>
      </c>
      <c r="B25" s="34">
        <f>-B13+10936.6</f>
        <v>10936.6</v>
      </c>
      <c r="C25" t="s">
        <v>171</v>
      </c>
    </row>
    <row r="26" spans="1:3" x14ac:dyDescent="0.3">
      <c r="A26" t="s">
        <v>51</v>
      </c>
      <c r="B26" s="40">
        <f>SUM(B18:B25)</f>
        <v>1507872.58</v>
      </c>
    </row>
    <row r="27" spans="1:3" x14ac:dyDescent="0.3">
      <c r="A27" t="s">
        <v>52</v>
      </c>
      <c r="B27" s="35">
        <v>-1507872.57</v>
      </c>
    </row>
    <row r="28" spans="1:3" ht="15" thickBot="1" x14ac:dyDescent="0.35">
      <c r="A28" t="s">
        <v>45</v>
      </c>
      <c r="B28" s="41">
        <f>SUM(B26:B27)</f>
        <v>1.0000000009313226E-2</v>
      </c>
    </row>
    <row r="29" spans="1:3" ht="15" thickTop="1" x14ac:dyDescent="0.3"/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transitionEvaluation="1" transitionEntry="1">
    <pageSetUpPr fitToPage="1"/>
  </sheetPr>
  <dimension ref="A1:H38"/>
  <sheetViews>
    <sheetView workbookViewId="0">
      <selection activeCell="A5" sqref="A5"/>
    </sheetView>
  </sheetViews>
  <sheetFormatPr defaultColWidth="9.109375" defaultRowHeight="13.2" x14ac:dyDescent="0.25"/>
  <cols>
    <col min="1" max="1" width="13.5546875" style="66" customWidth="1"/>
    <col min="2" max="2" width="14" style="66" bestFit="1" customWidth="1"/>
    <col min="3" max="3" width="2" style="66" customWidth="1"/>
    <col min="4" max="4" width="10.109375" style="66" customWidth="1"/>
    <col min="5" max="5" width="12.88671875" style="66" bestFit="1" customWidth="1"/>
    <col min="6" max="6" width="15.109375" style="66" customWidth="1"/>
    <col min="7" max="7" width="14.6640625" style="66" customWidth="1"/>
    <col min="8" max="8" width="14.5546875" style="66" bestFit="1" customWidth="1"/>
    <col min="9" max="9" width="18.44140625" style="66" customWidth="1"/>
    <col min="10" max="16384" width="9.109375" style="66"/>
  </cols>
  <sheetData>
    <row r="1" spans="1:8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8" x14ac:dyDescent="0.25">
      <c r="A2" s="97" t="s">
        <v>172</v>
      </c>
      <c r="B2" s="97"/>
      <c r="C2" s="97"/>
      <c r="D2" s="97"/>
      <c r="E2" s="97"/>
      <c r="F2" s="97"/>
      <c r="G2" s="97"/>
      <c r="H2" s="97"/>
    </row>
    <row r="3" spans="1:8" x14ac:dyDescent="0.25">
      <c r="A3" s="97" t="s">
        <v>173</v>
      </c>
      <c r="B3" s="97"/>
      <c r="C3" s="97"/>
      <c r="D3" s="97"/>
      <c r="E3" s="97"/>
      <c r="F3" s="97"/>
      <c r="G3" s="97"/>
      <c r="H3" s="97"/>
    </row>
    <row r="4" spans="1:8" x14ac:dyDescent="0.25">
      <c r="A4" s="97" t="s">
        <v>194</v>
      </c>
      <c r="B4" s="97"/>
      <c r="C4" s="97"/>
      <c r="D4" s="97"/>
      <c r="E4" s="97"/>
      <c r="F4" s="97"/>
      <c r="G4" s="97"/>
      <c r="H4" s="97"/>
    </row>
    <row r="5" spans="1:8" x14ac:dyDescent="0.25">
      <c r="A5" s="67"/>
      <c r="B5" s="67"/>
      <c r="C5" s="67"/>
      <c r="D5" s="67"/>
      <c r="E5" s="67"/>
      <c r="F5" s="67"/>
      <c r="G5" s="67"/>
      <c r="H5" s="67"/>
    </row>
    <row r="6" spans="1:8" x14ac:dyDescent="0.25">
      <c r="A6" s="67"/>
      <c r="B6" s="67"/>
      <c r="C6" s="67"/>
      <c r="D6" s="67"/>
      <c r="E6" s="67"/>
      <c r="F6" s="67"/>
      <c r="G6" s="67"/>
      <c r="H6" s="67"/>
    </row>
    <row r="7" spans="1:8" x14ac:dyDescent="0.25">
      <c r="A7" s="67"/>
      <c r="B7" s="67"/>
      <c r="C7" s="67"/>
      <c r="D7" s="67"/>
      <c r="E7" s="67"/>
      <c r="F7" s="67"/>
      <c r="G7" s="67"/>
      <c r="H7" s="67"/>
    </row>
    <row r="8" spans="1:8" x14ac:dyDescent="0.25">
      <c r="A8" s="68" t="s">
        <v>174</v>
      </c>
      <c r="B8" s="67"/>
      <c r="C8" s="67"/>
      <c r="D8" s="67"/>
      <c r="E8" s="67"/>
      <c r="F8" s="67"/>
      <c r="G8" s="69">
        <v>3405499.54</v>
      </c>
      <c r="H8" s="67"/>
    </row>
    <row r="9" spans="1:8" x14ac:dyDescent="0.25">
      <c r="A9" s="67"/>
      <c r="B9" s="67"/>
      <c r="C9" s="67"/>
      <c r="D9" s="67"/>
      <c r="E9" s="67"/>
      <c r="F9" s="67"/>
      <c r="G9" s="67"/>
      <c r="H9" s="67"/>
    </row>
    <row r="10" spans="1:8" x14ac:dyDescent="0.25">
      <c r="A10" s="68" t="s">
        <v>175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/>
      <c r="B11" s="69"/>
      <c r="C11" s="67"/>
      <c r="D11" s="67"/>
      <c r="E11" s="67"/>
      <c r="F11" s="67"/>
      <c r="G11" s="71"/>
      <c r="H11" s="67"/>
    </row>
    <row r="12" spans="1:8" x14ac:dyDescent="0.25">
      <c r="A12" s="67"/>
      <c r="B12" s="67"/>
      <c r="C12" s="67"/>
      <c r="D12" s="67"/>
      <c r="E12" s="67"/>
      <c r="F12" s="67"/>
      <c r="G12" s="67"/>
      <c r="H12" s="67"/>
    </row>
    <row r="13" spans="1:8" x14ac:dyDescent="0.25">
      <c r="A13" s="67"/>
      <c r="B13" s="67"/>
      <c r="C13" s="67"/>
      <c r="D13" s="67"/>
      <c r="E13" s="67"/>
      <c r="F13" s="67"/>
      <c r="G13" s="67"/>
      <c r="H13" s="67"/>
    </row>
    <row r="14" spans="1:8" x14ac:dyDescent="0.25">
      <c r="A14" s="68" t="s">
        <v>176</v>
      </c>
      <c r="B14" s="67"/>
      <c r="C14" s="67"/>
      <c r="D14" s="67"/>
      <c r="E14" s="67"/>
      <c r="F14" s="67"/>
      <c r="G14" s="67"/>
      <c r="H14" s="67"/>
    </row>
    <row r="15" spans="1:8" x14ac:dyDescent="0.25">
      <c r="A15" s="70"/>
      <c r="B15" s="72"/>
      <c r="C15" s="67"/>
      <c r="D15" s="67"/>
      <c r="E15" s="69"/>
      <c r="F15" s="67"/>
      <c r="G15" s="67"/>
      <c r="H15" s="67"/>
    </row>
    <row r="16" spans="1:8" x14ac:dyDescent="0.25">
      <c r="A16" s="67"/>
      <c r="B16" s="72"/>
      <c r="C16" s="67"/>
      <c r="D16" s="67"/>
      <c r="E16" s="69"/>
      <c r="F16" s="67"/>
      <c r="G16" s="67"/>
      <c r="H16" s="67"/>
    </row>
    <row r="17" spans="1:8" x14ac:dyDescent="0.25">
      <c r="A17" s="73"/>
      <c r="B17" s="72"/>
      <c r="C17" s="73"/>
      <c r="D17" s="73"/>
      <c r="E17" s="69"/>
      <c r="F17" s="73"/>
      <c r="G17" s="73"/>
      <c r="H17" s="73"/>
    </row>
    <row r="18" spans="1:8" x14ac:dyDescent="0.25">
      <c r="A18" s="73"/>
      <c r="B18" s="72">
        <f>SUM(B15:B17)</f>
        <v>0</v>
      </c>
      <c r="C18" s="73"/>
      <c r="D18" s="73"/>
      <c r="E18" s="69">
        <f>SUM(E15:E17)</f>
        <v>0</v>
      </c>
      <c r="F18" s="73"/>
      <c r="G18" s="74">
        <f>-SUM(B18:E18)</f>
        <v>0</v>
      </c>
      <c r="H18" s="73"/>
    </row>
    <row r="19" spans="1:8" x14ac:dyDescent="0.25">
      <c r="A19" s="73"/>
      <c r="B19" s="72"/>
      <c r="C19" s="73"/>
      <c r="D19" s="73"/>
      <c r="E19" s="73"/>
      <c r="F19" s="73"/>
      <c r="G19" s="73"/>
      <c r="H19" s="73"/>
    </row>
    <row r="20" spans="1:8" ht="13.8" thickBot="1" x14ac:dyDescent="0.3">
      <c r="A20" s="75" t="s">
        <v>177</v>
      </c>
      <c r="B20" s="72"/>
      <c r="C20" s="73"/>
      <c r="D20" s="73"/>
      <c r="E20" s="73"/>
      <c r="F20" s="73"/>
      <c r="G20" s="76">
        <f>SUM(G8:G19)</f>
        <v>3405499.54</v>
      </c>
      <c r="H20" s="73"/>
    </row>
    <row r="21" spans="1:8" ht="13.8" thickTop="1" x14ac:dyDescent="0.25">
      <c r="A21" s="73"/>
      <c r="B21" s="69"/>
      <c r="C21" s="73"/>
      <c r="D21" s="73"/>
      <c r="E21" s="73"/>
      <c r="F21" s="73"/>
      <c r="G21" s="73"/>
      <c r="H21" s="73"/>
    </row>
    <row r="22" spans="1:8" x14ac:dyDescent="0.25">
      <c r="A22" s="75" t="s">
        <v>178</v>
      </c>
      <c r="B22" s="69"/>
      <c r="C22" s="73"/>
      <c r="D22" s="73"/>
      <c r="E22" s="73"/>
      <c r="F22" s="73"/>
      <c r="G22" s="69">
        <v>3405499.54</v>
      </c>
      <c r="H22" s="73"/>
    </row>
    <row r="23" spans="1:8" x14ac:dyDescent="0.25">
      <c r="A23" s="75" t="s">
        <v>179</v>
      </c>
      <c r="B23" s="73"/>
      <c r="C23" s="73"/>
      <c r="D23" s="73"/>
      <c r="E23" s="73"/>
      <c r="F23" s="73"/>
      <c r="G23" s="69"/>
      <c r="H23" s="73"/>
    </row>
    <row r="24" spans="1:8" x14ac:dyDescent="0.25">
      <c r="A24" s="73"/>
      <c r="B24" s="73"/>
      <c r="C24" s="73"/>
      <c r="D24" s="73"/>
      <c r="E24" s="73"/>
      <c r="F24" s="73"/>
      <c r="G24" s="73"/>
      <c r="H24" s="73"/>
    </row>
    <row r="25" spans="1:8" x14ac:dyDescent="0.25">
      <c r="A25" s="73"/>
      <c r="B25" s="73"/>
      <c r="C25" s="73"/>
      <c r="D25" s="73"/>
      <c r="E25" s="73"/>
      <c r="F25" s="73"/>
      <c r="G25" s="73"/>
      <c r="H25" s="73"/>
    </row>
    <row r="26" spans="1:8" ht="13.8" thickBot="1" x14ac:dyDescent="0.3">
      <c r="A26" s="75" t="s">
        <v>180</v>
      </c>
      <c r="B26" s="73"/>
      <c r="C26" s="73"/>
      <c r="D26" s="73"/>
      <c r="E26" s="73"/>
      <c r="F26" s="73"/>
      <c r="G26" s="77">
        <f>SUM(G22:G25)</f>
        <v>3405499.54</v>
      </c>
      <c r="H26" s="73"/>
    </row>
    <row r="27" spans="1:8" ht="15" thickTop="1" x14ac:dyDescent="0.3">
      <c r="A27" s="73"/>
      <c r="B27" s="73"/>
      <c r="C27" s="73"/>
      <c r="D27" s="73"/>
      <c r="E27" s="73"/>
      <c r="F27" s="73"/>
      <c r="G27" s="78"/>
      <c r="H27" s="73"/>
    </row>
    <row r="28" spans="1:8" x14ac:dyDescent="0.25">
      <c r="A28" s="75" t="s">
        <v>181</v>
      </c>
      <c r="B28" s="73"/>
      <c r="C28" s="73"/>
      <c r="D28" s="73"/>
      <c r="E28" s="73"/>
      <c r="F28" s="73"/>
      <c r="G28" s="79">
        <f>G20-G26</f>
        <v>0</v>
      </c>
      <c r="H28" s="73"/>
    </row>
    <row r="29" spans="1:8" x14ac:dyDescent="0.25">
      <c r="A29" s="73"/>
      <c r="B29" s="73"/>
      <c r="C29" s="73"/>
      <c r="D29" s="73"/>
      <c r="E29" s="73"/>
      <c r="F29" s="73"/>
      <c r="G29" s="73"/>
      <c r="H29" s="73"/>
    </row>
    <row r="30" spans="1:8" ht="11.25" customHeight="1" x14ac:dyDescent="0.25">
      <c r="A30" s="73"/>
      <c r="B30" s="73"/>
      <c r="C30" s="73"/>
      <c r="D30" s="73"/>
      <c r="E30" s="73"/>
      <c r="F30" s="73"/>
      <c r="G30" s="73"/>
      <c r="H30" s="73"/>
    </row>
    <row r="31" spans="1:8" x14ac:dyDescent="0.25">
      <c r="A31" s="80" t="s">
        <v>182</v>
      </c>
      <c r="B31" s="80"/>
      <c r="C31" s="80"/>
      <c r="D31" s="80"/>
      <c r="E31" s="80"/>
      <c r="F31" s="80"/>
      <c r="G31" s="80"/>
      <c r="H31" s="80"/>
    </row>
    <row r="32" spans="1:8" ht="14.4" x14ac:dyDescent="0.3">
      <c r="A32" s="80" t="s">
        <v>183</v>
      </c>
      <c r="B32" s="81">
        <f>1309150.73+1233.19+473.08+440.82+409.62+423.41+444.39+423.69</f>
        <v>1312998.93</v>
      </c>
      <c r="C32" s="80"/>
      <c r="D32" s="82">
        <f>B32/B34</f>
        <v>0.38555257562030443</v>
      </c>
      <c r="E32" s="69">
        <f>D32*0</f>
        <v>0</v>
      </c>
      <c r="F32" s="80"/>
      <c r="G32" s="80"/>
      <c r="H32" s="80"/>
    </row>
    <row r="33" spans="1:8" ht="14.4" x14ac:dyDescent="0.3">
      <c r="A33" s="80" t="s">
        <v>145</v>
      </c>
      <c r="B33" s="81">
        <f>2587505.7+161.1+934.2+870.69+668.14+140.75+836.11-500000+708.21+675.22</f>
        <v>2092500.1200000003</v>
      </c>
      <c r="C33" s="80" t="s">
        <v>184</v>
      </c>
      <c r="D33" s="82">
        <f>B33/B34</f>
        <v>0.61444742437969557</v>
      </c>
      <c r="E33" s="69">
        <f>-E32+0</f>
        <v>0</v>
      </c>
      <c r="F33" s="83" t="s">
        <v>189</v>
      </c>
      <c r="G33" s="84">
        <f>E33*0.88</f>
        <v>0</v>
      </c>
      <c r="H33" s="80"/>
    </row>
    <row r="34" spans="1:8" ht="15" thickBot="1" x14ac:dyDescent="0.35">
      <c r="A34" s="80"/>
      <c r="B34" s="85">
        <f>SUM(B32:B33)</f>
        <v>3405499.0500000003</v>
      </c>
      <c r="C34" s="80"/>
      <c r="D34" s="86">
        <f>SUM(D32:D33)</f>
        <v>1</v>
      </c>
      <c r="E34" s="87"/>
      <c r="F34" s="83" t="s">
        <v>190</v>
      </c>
      <c r="G34" s="84">
        <f>E33*0.12</f>
        <v>0</v>
      </c>
      <c r="H34" s="80"/>
    </row>
    <row r="35" spans="1:8" ht="13.8" thickTop="1" x14ac:dyDescent="0.25">
      <c r="A35" s="80"/>
      <c r="B35" s="80"/>
      <c r="C35" s="80"/>
      <c r="D35" s="80"/>
      <c r="E35" s="80"/>
      <c r="F35" s="88"/>
      <c r="G35" s="80"/>
      <c r="H35" s="80"/>
    </row>
    <row r="36" spans="1:8" x14ac:dyDescent="0.25">
      <c r="A36" s="83" t="s">
        <v>187</v>
      </c>
      <c r="B36" s="80"/>
      <c r="C36" s="80"/>
      <c r="D36" s="80"/>
      <c r="E36" s="80"/>
      <c r="F36" s="80"/>
      <c r="G36" s="80"/>
      <c r="H36" s="80"/>
    </row>
    <row r="38" spans="1:8" ht="14.4" x14ac:dyDescent="0.3">
      <c r="A38" s="89">
        <f>450581.43+140.75+145.48-200000+123.23+81.03</f>
        <v>251071.91999999998</v>
      </c>
      <c r="B38" s="90">
        <f>A38/B33</f>
        <v>0.11998657376421079</v>
      </c>
    </row>
  </sheetData>
  <mergeCells count="4">
    <mergeCell ref="A1:H1"/>
    <mergeCell ref="A2:H2"/>
    <mergeCell ref="A3:H3"/>
    <mergeCell ref="A4:H4"/>
  </mergeCells>
  <pageMargins left="0.54" right="0.45" top="0.52" bottom="0.48" header="0.37" footer="0.22"/>
  <pageSetup fitToHeight="2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transitionEvaluation="1" transitionEntry="1">
    <pageSetUpPr fitToPage="1"/>
  </sheetPr>
  <dimension ref="A1:H38"/>
  <sheetViews>
    <sheetView workbookViewId="0">
      <selection activeCell="A5" sqref="A5"/>
    </sheetView>
  </sheetViews>
  <sheetFormatPr defaultColWidth="9.109375" defaultRowHeight="13.2" x14ac:dyDescent="0.25"/>
  <cols>
    <col min="1" max="1" width="13.5546875" style="66" customWidth="1"/>
    <col min="2" max="2" width="14" style="66" bestFit="1" customWidth="1"/>
    <col min="3" max="3" width="2" style="66" customWidth="1"/>
    <col min="4" max="4" width="10.109375" style="66" customWidth="1"/>
    <col min="5" max="5" width="12.88671875" style="66" bestFit="1" customWidth="1"/>
    <col min="6" max="6" width="15.109375" style="66" customWidth="1"/>
    <col min="7" max="7" width="14.6640625" style="66" customWidth="1"/>
    <col min="8" max="8" width="14.5546875" style="66" bestFit="1" customWidth="1"/>
    <col min="9" max="9" width="18.44140625" style="66" customWidth="1"/>
    <col min="10" max="16384" width="9.109375" style="66"/>
  </cols>
  <sheetData>
    <row r="1" spans="1:8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8" x14ac:dyDescent="0.25">
      <c r="A2" s="97" t="s">
        <v>172</v>
      </c>
      <c r="B2" s="97"/>
      <c r="C2" s="97"/>
      <c r="D2" s="97"/>
      <c r="E2" s="97"/>
      <c r="F2" s="97"/>
      <c r="G2" s="97"/>
      <c r="H2" s="97"/>
    </row>
    <row r="3" spans="1:8" x14ac:dyDescent="0.25">
      <c r="A3" s="97" t="s">
        <v>173</v>
      </c>
      <c r="B3" s="97"/>
      <c r="C3" s="97"/>
      <c r="D3" s="97"/>
      <c r="E3" s="97"/>
      <c r="F3" s="97"/>
      <c r="G3" s="97"/>
      <c r="H3" s="97"/>
    </row>
    <row r="4" spans="1:8" x14ac:dyDescent="0.25">
      <c r="A4" s="97" t="s">
        <v>188</v>
      </c>
      <c r="B4" s="97"/>
      <c r="C4" s="97"/>
      <c r="D4" s="97"/>
      <c r="E4" s="97"/>
      <c r="F4" s="97"/>
      <c r="G4" s="97"/>
      <c r="H4" s="97"/>
    </row>
    <row r="5" spans="1:8" x14ac:dyDescent="0.25">
      <c r="A5" s="67"/>
      <c r="B5" s="67"/>
      <c r="C5" s="67"/>
      <c r="D5" s="67"/>
      <c r="E5" s="67"/>
      <c r="F5" s="67"/>
      <c r="G5" s="67"/>
      <c r="H5" s="67"/>
    </row>
    <row r="6" spans="1:8" x14ac:dyDescent="0.25">
      <c r="A6" s="67"/>
      <c r="B6" s="67"/>
      <c r="C6" s="67"/>
      <c r="D6" s="67"/>
      <c r="E6" s="67"/>
      <c r="F6" s="67"/>
      <c r="G6" s="67"/>
      <c r="H6" s="67"/>
    </row>
    <row r="7" spans="1:8" x14ac:dyDescent="0.25">
      <c r="A7" s="67"/>
      <c r="B7" s="67"/>
      <c r="C7" s="67"/>
      <c r="D7" s="67"/>
      <c r="E7" s="67"/>
      <c r="F7" s="67"/>
      <c r="G7" s="67"/>
      <c r="H7" s="67"/>
    </row>
    <row r="8" spans="1:8" x14ac:dyDescent="0.25">
      <c r="A8" s="68" t="s">
        <v>174</v>
      </c>
      <c r="B8" s="67"/>
      <c r="C8" s="67"/>
      <c r="D8" s="67"/>
      <c r="E8" s="67"/>
      <c r="F8" s="67"/>
      <c r="G8" s="69">
        <v>3404400.63</v>
      </c>
      <c r="H8" s="67"/>
    </row>
    <row r="9" spans="1:8" x14ac:dyDescent="0.25">
      <c r="A9" s="67"/>
      <c r="B9" s="67"/>
      <c r="C9" s="67"/>
      <c r="D9" s="67"/>
      <c r="E9" s="67"/>
      <c r="F9" s="67"/>
      <c r="G9" s="67"/>
      <c r="H9" s="67"/>
    </row>
    <row r="10" spans="1:8" x14ac:dyDescent="0.25">
      <c r="A10" s="68" t="s">
        <v>175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/>
      <c r="B11" s="69"/>
      <c r="C11" s="67"/>
      <c r="D11" s="67"/>
      <c r="E11" s="67"/>
      <c r="F11" s="67"/>
      <c r="G11" s="71"/>
      <c r="H11" s="67"/>
    </row>
    <row r="12" spans="1:8" x14ac:dyDescent="0.25">
      <c r="A12" s="67"/>
      <c r="B12" s="67"/>
      <c r="C12" s="67"/>
      <c r="D12" s="67"/>
      <c r="E12" s="67"/>
      <c r="F12" s="67"/>
      <c r="G12" s="67"/>
      <c r="H12" s="67"/>
    </row>
    <row r="13" spans="1:8" x14ac:dyDescent="0.25">
      <c r="A13" s="67"/>
      <c r="B13" s="67"/>
      <c r="C13" s="67"/>
      <c r="D13" s="67"/>
      <c r="E13" s="67"/>
      <c r="F13" s="67"/>
      <c r="G13" s="67"/>
      <c r="H13" s="67"/>
    </row>
    <row r="14" spans="1:8" x14ac:dyDescent="0.25">
      <c r="A14" s="68" t="s">
        <v>176</v>
      </c>
      <c r="B14" s="67"/>
      <c r="C14" s="67"/>
      <c r="D14" s="67"/>
      <c r="E14" s="67"/>
      <c r="F14" s="67"/>
      <c r="G14" s="67"/>
      <c r="H14" s="67"/>
    </row>
    <row r="15" spans="1:8" x14ac:dyDescent="0.25">
      <c r="A15" s="70"/>
      <c r="B15" s="72"/>
      <c r="C15" s="67"/>
      <c r="D15" s="67"/>
      <c r="E15" s="69"/>
      <c r="F15" s="67"/>
      <c r="G15" s="67"/>
      <c r="H15" s="67"/>
    </row>
    <row r="16" spans="1:8" x14ac:dyDescent="0.25">
      <c r="A16" s="67"/>
      <c r="B16" s="72"/>
      <c r="C16" s="67"/>
      <c r="D16" s="67"/>
      <c r="E16" s="69"/>
      <c r="F16" s="67"/>
      <c r="G16" s="67"/>
      <c r="H16" s="67"/>
    </row>
    <row r="17" spans="1:8" x14ac:dyDescent="0.25">
      <c r="A17" s="73"/>
      <c r="B17" s="72"/>
      <c r="C17" s="73"/>
      <c r="D17" s="73"/>
      <c r="E17" s="69"/>
      <c r="F17" s="73"/>
      <c r="G17" s="73"/>
      <c r="H17" s="73"/>
    </row>
    <row r="18" spans="1:8" x14ac:dyDescent="0.25">
      <c r="A18" s="73"/>
      <c r="B18" s="72">
        <f>SUM(B15:B17)</f>
        <v>0</v>
      </c>
      <c r="C18" s="73"/>
      <c r="D18" s="73"/>
      <c r="E18" s="69">
        <f>SUM(E15:E17)</f>
        <v>0</v>
      </c>
      <c r="F18" s="73"/>
      <c r="G18" s="74">
        <f>-SUM(B18:E18)</f>
        <v>0</v>
      </c>
      <c r="H18" s="73"/>
    </row>
    <row r="19" spans="1:8" x14ac:dyDescent="0.25">
      <c r="A19" s="73"/>
      <c r="B19" s="72"/>
      <c r="C19" s="73"/>
      <c r="D19" s="73"/>
      <c r="E19" s="73"/>
      <c r="F19" s="73"/>
      <c r="G19" s="73"/>
      <c r="H19" s="73"/>
    </row>
    <row r="20" spans="1:8" ht="13.8" thickBot="1" x14ac:dyDescent="0.3">
      <c r="A20" s="75" t="s">
        <v>177</v>
      </c>
      <c r="B20" s="72"/>
      <c r="C20" s="73"/>
      <c r="D20" s="73"/>
      <c r="E20" s="73"/>
      <c r="F20" s="73"/>
      <c r="G20" s="76">
        <f>SUM(G8:G19)</f>
        <v>3404400.63</v>
      </c>
      <c r="H20" s="73"/>
    </row>
    <row r="21" spans="1:8" ht="13.8" thickTop="1" x14ac:dyDescent="0.25">
      <c r="A21" s="73"/>
      <c r="B21" s="69"/>
      <c r="C21" s="73"/>
      <c r="D21" s="73"/>
      <c r="E21" s="73"/>
      <c r="F21" s="73"/>
      <c r="G21" s="73"/>
      <c r="H21" s="73"/>
    </row>
    <row r="22" spans="1:8" x14ac:dyDescent="0.25">
      <c r="A22" s="75" t="s">
        <v>178</v>
      </c>
      <c r="B22" s="69"/>
      <c r="C22" s="73"/>
      <c r="D22" s="73"/>
      <c r="E22" s="73"/>
      <c r="F22" s="73"/>
      <c r="G22" s="69">
        <v>3404400.63</v>
      </c>
      <c r="H22" s="73"/>
    </row>
    <row r="23" spans="1:8" x14ac:dyDescent="0.25">
      <c r="A23" s="75" t="s">
        <v>179</v>
      </c>
      <c r="B23" s="73"/>
      <c r="C23" s="73"/>
      <c r="D23" s="73"/>
      <c r="E23" s="73"/>
      <c r="F23" s="73"/>
      <c r="G23" s="69"/>
      <c r="H23" s="73"/>
    </row>
    <row r="24" spans="1:8" x14ac:dyDescent="0.25">
      <c r="A24" s="73"/>
      <c r="B24" s="73"/>
      <c r="C24" s="73"/>
      <c r="D24" s="73"/>
      <c r="E24" s="73"/>
      <c r="F24" s="73"/>
      <c r="G24" s="73"/>
      <c r="H24" s="73"/>
    </row>
    <row r="25" spans="1:8" x14ac:dyDescent="0.25">
      <c r="A25" s="73"/>
      <c r="B25" s="73"/>
      <c r="C25" s="73"/>
      <c r="D25" s="73"/>
      <c r="E25" s="73"/>
      <c r="F25" s="73"/>
      <c r="G25" s="73"/>
      <c r="H25" s="73"/>
    </row>
    <row r="26" spans="1:8" ht="13.8" thickBot="1" x14ac:dyDescent="0.3">
      <c r="A26" s="75" t="s">
        <v>180</v>
      </c>
      <c r="B26" s="73"/>
      <c r="C26" s="73"/>
      <c r="D26" s="73"/>
      <c r="E26" s="73"/>
      <c r="F26" s="73"/>
      <c r="G26" s="77">
        <f>SUM(G22:G25)</f>
        <v>3404400.63</v>
      </c>
      <c r="H26" s="73"/>
    </row>
    <row r="27" spans="1:8" ht="15" thickTop="1" x14ac:dyDescent="0.3">
      <c r="A27" s="73"/>
      <c r="B27" s="73"/>
      <c r="C27" s="73"/>
      <c r="D27" s="73"/>
      <c r="E27" s="73"/>
      <c r="F27" s="73"/>
      <c r="G27" s="78"/>
      <c r="H27" s="73"/>
    </row>
    <row r="28" spans="1:8" x14ac:dyDescent="0.25">
      <c r="A28" s="75" t="s">
        <v>181</v>
      </c>
      <c r="B28" s="73"/>
      <c r="C28" s="73"/>
      <c r="D28" s="73"/>
      <c r="E28" s="73"/>
      <c r="F28" s="73"/>
      <c r="G28" s="79">
        <f>G20-G26</f>
        <v>0</v>
      </c>
      <c r="H28" s="73"/>
    </row>
    <row r="29" spans="1:8" x14ac:dyDescent="0.25">
      <c r="A29" s="73"/>
      <c r="B29" s="73"/>
      <c r="C29" s="73"/>
      <c r="D29" s="73"/>
      <c r="E29" s="73"/>
      <c r="F29" s="73"/>
      <c r="G29" s="73"/>
      <c r="H29" s="73"/>
    </row>
    <row r="30" spans="1:8" ht="11.25" customHeight="1" x14ac:dyDescent="0.25">
      <c r="A30" s="73"/>
      <c r="B30" s="73"/>
      <c r="C30" s="73"/>
      <c r="D30" s="73"/>
      <c r="E30" s="73"/>
      <c r="F30" s="73"/>
      <c r="G30" s="73"/>
      <c r="H30" s="73"/>
    </row>
    <row r="31" spans="1:8" x14ac:dyDescent="0.25">
      <c r="A31" s="80" t="s">
        <v>182</v>
      </c>
      <c r="B31" s="80"/>
      <c r="C31" s="80"/>
      <c r="D31" s="80"/>
      <c r="E31" s="80"/>
      <c r="F31" s="80"/>
      <c r="G31" s="80"/>
      <c r="H31" s="80"/>
    </row>
    <row r="32" spans="1:8" ht="14.4" x14ac:dyDescent="0.3">
      <c r="A32" s="80" t="s">
        <v>183</v>
      </c>
      <c r="B32" s="81">
        <f>1309150.73+1233.19+473.08+440.82+409.62+423.41+444.39</f>
        <v>1312575.24</v>
      </c>
      <c r="C32" s="80"/>
      <c r="D32" s="82">
        <f>B32/B34</f>
        <v>0.38555257490971662</v>
      </c>
      <c r="E32" s="69">
        <f>D32*1152.6</f>
        <v>444.38789784093933</v>
      </c>
      <c r="F32" s="80"/>
      <c r="G32" s="80"/>
      <c r="H32" s="80"/>
    </row>
    <row r="33" spans="1:8" ht="14.4" x14ac:dyDescent="0.3">
      <c r="A33" s="80" t="s">
        <v>145</v>
      </c>
      <c r="B33" s="81">
        <f>2587505.7+161.1+934.2+870.69+668.14+140.75+836.11-500000+708.21</f>
        <v>2091824.9000000004</v>
      </c>
      <c r="C33" s="80" t="s">
        <v>184</v>
      </c>
      <c r="D33" s="82">
        <f>B33/B34</f>
        <v>0.61444742509028327</v>
      </c>
      <c r="E33" s="69">
        <f>-E32+1152.6</f>
        <v>708.21210215906058</v>
      </c>
      <c r="F33" s="83" t="s">
        <v>185</v>
      </c>
      <c r="G33" s="84">
        <f>E33*0.826</f>
        <v>584.98319638338398</v>
      </c>
      <c r="H33" s="80"/>
    </row>
    <row r="34" spans="1:8" ht="15" thickBot="1" x14ac:dyDescent="0.35">
      <c r="A34" s="80"/>
      <c r="B34" s="85">
        <f>SUM(B32:B33)</f>
        <v>3404400.1400000006</v>
      </c>
      <c r="C34" s="80"/>
      <c r="D34" s="86">
        <f>SUM(D32:D33)</f>
        <v>0.99999999999999989</v>
      </c>
      <c r="E34" s="87"/>
      <c r="F34" s="83" t="s">
        <v>186</v>
      </c>
      <c r="G34" s="84">
        <f>E33*0.174</f>
        <v>123.22890577567654</v>
      </c>
      <c r="H34" s="80"/>
    </row>
    <row r="35" spans="1:8" ht="13.8" thickTop="1" x14ac:dyDescent="0.25">
      <c r="A35" s="80"/>
      <c r="B35" s="80"/>
      <c r="C35" s="80"/>
      <c r="D35" s="80"/>
      <c r="E35" s="80"/>
      <c r="F35" s="88"/>
      <c r="G35" s="80"/>
      <c r="H35" s="80"/>
    </row>
    <row r="36" spans="1:8" x14ac:dyDescent="0.25">
      <c r="A36" s="83" t="s">
        <v>187</v>
      </c>
      <c r="B36" s="80"/>
      <c r="C36" s="80"/>
      <c r="D36" s="80"/>
      <c r="E36" s="80"/>
      <c r="F36" s="80"/>
      <c r="G36" s="80"/>
      <c r="H36" s="80"/>
    </row>
    <row r="38" spans="1:8" ht="14.4" x14ac:dyDescent="0.3">
      <c r="A38" s="89">
        <f>450581.43+140.75+145.48-200000+123.23</f>
        <v>250990.88999999998</v>
      </c>
      <c r="B38" s="90">
        <f>A38/B33</f>
        <v>0.11998656770937183</v>
      </c>
    </row>
  </sheetData>
  <mergeCells count="4">
    <mergeCell ref="A1:H1"/>
    <mergeCell ref="A2:H2"/>
    <mergeCell ref="A3:H3"/>
    <mergeCell ref="A4:H4"/>
  </mergeCells>
  <pageMargins left="0.54" right="0.45" top="0.52" bottom="0.48" header="0.37" footer="0.22"/>
  <pageSetup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5"/>
  <sheetViews>
    <sheetView topLeftCell="A7" workbookViewId="0">
      <selection activeCell="B23" sqref="B23"/>
    </sheetView>
  </sheetViews>
  <sheetFormatPr defaultRowHeight="14.4" x14ac:dyDescent="0.3"/>
  <cols>
    <col min="1" max="1" width="26.33203125" customWidth="1"/>
    <col min="2" max="2" width="14.6640625" bestFit="1" customWidth="1"/>
    <col min="6" max="6" width="13.33203125" customWidth="1"/>
  </cols>
  <sheetData>
    <row r="1" spans="1:4" x14ac:dyDescent="0.3">
      <c r="A1" s="33" t="s">
        <v>124</v>
      </c>
    </row>
    <row r="2" spans="1:4" x14ac:dyDescent="0.3">
      <c r="A2" t="s">
        <v>29</v>
      </c>
      <c r="B2" s="34">
        <v>4125401.56</v>
      </c>
    </row>
    <row r="3" spans="1:4" x14ac:dyDescent="0.3">
      <c r="A3" t="s">
        <v>30</v>
      </c>
      <c r="B3" s="35">
        <v>0</v>
      </c>
    </row>
    <row r="4" spans="1:4" x14ac:dyDescent="0.3">
      <c r="A4" t="s">
        <v>31</v>
      </c>
      <c r="B4" s="34">
        <v>698905.22</v>
      </c>
    </row>
    <row r="5" spans="1:4" x14ac:dyDescent="0.3">
      <c r="A5" t="s">
        <v>32</v>
      </c>
      <c r="B5" s="34">
        <v>-678631.64</v>
      </c>
      <c r="D5" s="35"/>
    </row>
    <row r="6" spans="1:4" x14ac:dyDescent="0.3">
      <c r="A6" t="s">
        <v>33</v>
      </c>
      <c r="B6" s="34">
        <v>3420.84</v>
      </c>
      <c r="C6" t="s">
        <v>127</v>
      </c>
    </row>
    <row r="7" spans="1:4" x14ac:dyDescent="0.3">
      <c r="A7" t="s">
        <v>35</v>
      </c>
      <c r="B7" s="34">
        <f>-239631.18+24342.39</f>
        <v>-215288.78999999998</v>
      </c>
    </row>
    <row r="8" spans="1:4" x14ac:dyDescent="0.3">
      <c r="A8" t="s">
        <v>91</v>
      </c>
      <c r="B8" s="34"/>
    </row>
    <row r="9" spans="1:4" x14ac:dyDescent="0.3">
      <c r="A9" t="s">
        <v>36</v>
      </c>
      <c r="B9" s="36">
        <v>220418.18</v>
      </c>
      <c r="C9" t="s">
        <v>37</v>
      </c>
    </row>
    <row r="10" spans="1:4" x14ac:dyDescent="0.3">
      <c r="A10" t="s">
        <v>38</v>
      </c>
      <c r="B10" s="34">
        <v>-219968.72</v>
      </c>
    </row>
    <row r="11" spans="1:4" x14ac:dyDescent="0.3">
      <c r="A11" t="s">
        <v>39</v>
      </c>
      <c r="B11" s="34">
        <v>293.04000000000002</v>
      </c>
    </row>
    <row r="12" spans="1:4" x14ac:dyDescent="0.3">
      <c r="A12" t="s">
        <v>40</v>
      </c>
      <c r="B12" s="34">
        <v>0</v>
      </c>
      <c r="C12" t="s">
        <v>63</v>
      </c>
    </row>
    <row r="13" spans="1:4" x14ac:dyDescent="0.3">
      <c r="A13" t="s">
        <v>16</v>
      </c>
      <c r="B13" s="34">
        <v>0</v>
      </c>
    </row>
    <row r="14" spans="1:4" x14ac:dyDescent="0.3">
      <c r="A14" t="s">
        <v>42</v>
      </c>
      <c r="B14" s="34"/>
    </row>
    <row r="15" spans="1:4" x14ac:dyDescent="0.3">
      <c r="A15" t="s">
        <v>57</v>
      </c>
      <c r="B15" s="34"/>
    </row>
    <row r="16" spans="1:4" x14ac:dyDescent="0.3">
      <c r="A16" t="s">
        <v>43</v>
      </c>
      <c r="B16" s="37">
        <f>SUM(B2:B15)</f>
        <v>3934549.69</v>
      </c>
    </row>
    <row r="17" spans="1:3" x14ac:dyDescent="0.3">
      <c r="A17" t="s">
        <v>44</v>
      </c>
      <c r="B17" s="34">
        <v>-3934549.69</v>
      </c>
    </row>
    <row r="18" spans="1:3" ht="15" thickBot="1" x14ac:dyDescent="0.35">
      <c r="A18" t="s">
        <v>45</v>
      </c>
      <c r="B18" s="58">
        <f>SUM(B16:B17)</f>
        <v>0</v>
      </c>
    </row>
    <row r="19" spans="1:3" ht="15" thickTop="1" x14ac:dyDescent="0.3">
      <c r="B19" s="39"/>
    </row>
    <row r="20" spans="1:3" x14ac:dyDescent="0.3">
      <c r="A20" t="s">
        <v>29</v>
      </c>
      <c r="B20" s="35">
        <v>-290210.12</v>
      </c>
    </row>
    <row r="21" spans="1:3" x14ac:dyDescent="0.3">
      <c r="A21" t="s">
        <v>56</v>
      </c>
      <c r="B21" s="34"/>
    </row>
    <row r="22" spans="1:3" x14ac:dyDescent="0.3">
      <c r="A22" t="s">
        <v>72</v>
      </c>
      <c r="B22" s="34"/>
    </row>
    <row r="23" spans="1:3" x14ac:dyDescent="0.3">
      <c r="A23" t="s">
        <v>46</v>
      </c>
      <c r="B23" s="34">
        <v>-24342.39</v>
      </c>
      <c r="C23" t="s">
        <v>47</v>
      </c>
    </row>
    <row r="24" spans="1:3" x14ac:dyDescent="0.3">
      <c r="A24" t="s">
        <v>33</v>
      </c>
      <c r="B24" s="34"/>
    </row>
    <row r="25" spans="1:3" x14ac:dyDescent="0.3">
      <c r="A25" t="s">
        <v>39</v>
      </c>
      <c r="B25" s="34"/>
    </row>
    <row r="26" spans="1:3" x14ac:dyDescent="0.3">
      <c r="A26" t="s">
        <v>40</v>
      </c>
      <c r="B26" s="34"/>
    </row>
    <row r="27" spans="1:3" x14ac:dyDescent="0.3">
      <c r="A27" t="s">
        <v>48</v>
      </c>
      <c r="B27" s="34">
        <v>82673.5</v>
      </c>
    </row>
    <row r="28" spans="1:3" x14ac:dyDescent="0.3">
      <c r="A28" t="s">
        <v>42</v>
      </c>
      <c r="B28" s="34"/>
    </row>
    <row r="29" spans="1:3" x14ac:dyDescent="0.3">
      <c r="A29" t="s">
        <v>49</v>
      </c>
      <c r="B29" s="34"/>
    </row>
    <row r="30" spans="1:3" x14ac:dyDescent="0.3">
      <c r="A30" t="s">
        <v>50</v>
      </c>
      <c r="B30" s="34"/>
    </row>
    <row r="31" spans="1:3" x14ac:dyDescent="0.3">
      <c r="A31" t="s">
        <v>57</v>
      </c>
      <c r="B31" s="34"/>
    </row>
    <row r="32" spans="1:3" x14ac:dyDescent="0.3">
      <c r="A32" t="s">
        <v>51</v>
      </c>
      <c r="B32" s="40">
        <f>SUM(B20:B31)</f>
        <v>-231879.01</v>
      </c>
    </row>
    <row r="33" spans="1:2" x14ac:dyDescent="0.3">
      <c r="A33" t="s">
        <v>52</v>
      </c>
      <c r="B33" s="35">
        <v>231879.01</v>
      </c>
    </row>
    <row r="34" spans="1:2" ht="15" thickBot="1" x14ac:dyDescent="0.35">
      <c r="A34" t="s">
        <v>45</v>
      </c>
      <c r="B34" s="41">
        <f>SUM(B32:B33)</f>
        <v>0</v>
      </c>
    </row>
    <row r="35" spans="1:2" ht="15" thickTop="1" x14ac:dyDescent="0.3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transitionEntry="1">
    <pageSetUpPr fitToPage="1"/>
  </sheetPr>
  <dimension ref="A1:H38"/>
  <sheetViews>
    <sheetView workbookViewId="0">
      <selection activeCell="A5" sqref="A5"/>
    </sheetView>
  </sheetViews>
  <sheetFormatPr defaultColWidth="9.109375" defaultRowHeight="13.2" x14ac:dyDescent="0.25"/>
  <cols>
    <col min="1" max="1" width="13.5546875" style="66" customWidth="1"/>
    <col min="2" max="2" width="14" style="66" bestFit="1" customWidth="1"/>
    <col min="3" max="3" width="2" style="66" customWidth="1"/>
    <col min="4" max="4" width="10.109375" style="66" customWidth="1"/>
    <col min="5" max="5" width="13.33203125" style="66" bestFit="1" customWidth="1"/>
    <col min="6" max="6" width="15.5546875" style="66" customWidth="1"/>
    <col min="7" max="7" width="14.6640625" style="66" customWidth="1"/>
    <col min="8" max="8" width="14.5546875" style="66" bestFit="1" customWidth="1"/>
    <col min="9" max="9" width="18.44140625" style="66" customWidth="1"/>
    <col min="10" max="16384" width="9.109375" style="66"/>
  </cols>
  <sheetData>
    <row r="1" spans="1:8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8" x14ac:dyDescent="0.25">
      <c r="A2" s="97" t="s">
        <v>172</v>
      </c>
      <c r="B2" s="97"/>
      <c r="C2" s="97"/>
      <c r="D2" s="97"/>
      <c r="E2" s="97"/>
      <c r="F2" s="97"/>
      <c r="G2" s="97"/>
      <c r="H2" s="97"/>
    </row>
    <row r="3" spans="1:8" x14ac:dyDescent="0.25">
      <c r="A3" s="97" t="s">
        <v>173</v>
      </c>
      <c r="B3" s="97"/>
      <c r="C3" s="97"/>
      <c r="D3" s="97"/>
      <c r="E3" s="97"/>
      <c r="F3" s="97"/>
      <c r="G3" s="97"/>
      <c r="H3" s="97"/>
    </row>
    <row r="4" spans="1:8" x14ac:dyDescent="0.25">
      <c r="A4" s="97" t="s">
        <v>211</v>
      </c>
      <c r="B4" s="97"/>
      <c r="C4" s="97"/>
      <c r="D4" s="97"/>
      <c r="E4" s="97"/>
      <c r="F4" s="97"/>
      <c r="G4" s="97"/>
      <c r="H4" s="97"/>
    </row>
    <row r="5" spans="1:8" x14ac:dyDescent="0.25">
      <c r="A5" s="67"/>
      <c r="B5" s="67"/>
      <c r="C5" s="67"/>
      <c r="D5" s="67"/>
      <c r="E5" s="67"/>
      <c r="F5" s="67"/>
      <c r="G5" s="67"/>
      <c r="H5" s="67"/>
    </row>
    <row r="6" spans="1:8" x14ac:dyDescent="0.25">
      <c r="A6" s="67"/>
      <c r="B6" s="67"/>
      <c r="C6" s="67"/>
      <c r="D6" s="67"/>
      <c r="E6" s="67"/>
      <c r="F6" s="67"/>
      <c r="G6" s="67"/>
      <c r="H6" s="67"/>
    </row>
    <row r="7" spans="1:8" x14ac:dyDescent="0.25">
      <c r="A7" s="67"/>
      <c r="B7" s="67"/>
      <c r="C7" s="67"/>
      <c r="D7" s="67"/>
      <c r="E7" s="67"/>
      <c r="F7" s="67"/>
      <c r="G7" s="67"/>
      <c r="H7" s="67"/>
    </row>
    <row r="8" spans="1:8" x14ac:dyDescent="0.25">
      <c r="A8" s="68" t="s">
        <v>174</v>
      </c>
      <c r="B8" s="67"/>
      <c r="C8" s="67"/>
      <c r="D8" s="67"/>
      <c r="E8" s="67"/>
      <c r="F8" s="67"/>
      <c r="G8" s="69">
        <v>1157739.98</v>
      </c>
      <c r="H8" s="67"/>
    </row>
    <row r="9" spans="1:8" x14ac:dyDescent="0.25">
      <c r="A9" s="67"/>
      <c r="B9" s="67"/>
      <c r="C9" s="67"/>
      <c r="D9" s="67"/>
      <c r="E9" s="67"/>
      <c r="F9" s="67"/>
      <c r="G9" s="67"/>
      <c r="H9" s="67"/>
    </row>
    <row r="10" spans="1:8" x14ac:dyDescent="0.25">
      <c r="A10" s="68" t="s">
        <v>175</v>
      </c>
      <c r="B10" s="67"/>
      <c r="C10" s="67"/>
      <c r="D10" s="67"/>
      <c r="E10" s="67"/>
      <c r="F10" s="67"/>
      <c r="G10" s="67"/>
      <c r="H10" s="67"/>
    </row>
    <row r="11" spans="1:8" x14ac:dyDescent="0.25">
      <c r="A11" s="70"/>
      <c r="B11" s="95"/>
      <c r="C11" s="67"/>
      <c r="D11" s="95"/>
      <c r="E11" s="67"/>
      <c r="F11" s="67"/>
      <c r="G11" s="71"/>
      <c r="H11" s="67"/>
    </row>
    <row r="12" spans="1:8" x14ac:dyDescent="0.25">
      <c r="A12" s="67"/>
      <c r="B12" s="67"/>
      <c r="C12" s="67"/>
      <c r="D12" s="67"/>
      <c r="E12" s="67"/>
      <c r="F12" s="67"/>
      <c r="G12" s="67"/>
      <c r="H12" s="67"/>
    </row>
    <row r="13" spans="1:8" x14ac:dyDescent="0.25">
      <c r="A13" s="67"/>
      <c r="B13" s="67"/>
      <c r="C13" s="67"/>
      <c r="D13" s="67"/>
      <c r="E13" s="67"/>
      <c r="F13" s="67"/>
      <c r="G13" s="67"/>
      <c r="H13" s="67"/>
    </row>
    <row r="14" spans="1:8" x14ac:dyDescent="0.25">
      <c r="A14" s="68" t="s">
        <v>176</v>
      </c>
      <c r="B14" s="67"/>
      <c r="C14" s="67"/>
      <c r="D14" s="67"/>
      <c r="E14" s="67"/>
      <c r="F14" s="67"/>
      <c r="G14" s="67"/>
      <c r="H14" s="67"/>
    </row>
    <row r="15" spans="1:8" x14ac:dyDescent="0.25">
      <c r="A15" s="70"/>
      <c r="B15" s="72"/>
      <c r="C15" s="67"/>
      <c r="D15" s="67"/>
      <c r="E15" s="69"/>
      <c r="F15" s="67"/>
      <c r="G15" s="67"/>
      <c r="H15" s="67"/>
    </row>
    <row r="16" spans="1:8" x14ac:dyDescent="0.25">
      <c r="A16" s="67"/>
      <c r="B16" s="72"/>
      <c r="C16" s="67"/>
      <c r="D16" s="67"/>
      <c r="E16" s="69"/>
      <c r="F16" s="67"/>
      <c r="G16" s="67"/>
      <c r="H16" s="67"/>
    </row>
    <row r="17" spans="1:8" x14ac:dyDescent="0.25">
      <c r="A17" s="73"/>
      <c r="B17" s="72"/>
      <c r="C17" s="73"/>
      <c r="D17" s="73"/>
      <c r="E17" s="69"/>
      <c r="F17" s="73"/>
      <c r="G17" s="73"/>
      <c r="H17" s="73"/>
    </row>
    <row r="18" spans="1:8" x14ac:dyDescent="0.25">
      <c r="A18" s="91"/>
      <c r="B18" s="72"/>
      <c r="C18" s="73"/>
      <c r="D18" s="73"/>
      <c r="E18" s="69"/>
      <c r="F18" s="73"/>
      <c r="G18" s="74"/>
      <c r="H18" s="73"/>
    </row>
    <row r="19" spans="1:8" x14ac:dyDescent="0.25">
      <c r="A19" s="73"/>
      <c r="B19" s="72"/>
      <c r="C19" s="73"/>
      <c r="D19" s="73"/>
      <c r="E19" s="73"/>
      <c r="F19" s="73"/>
      <c r="G19" s="73"/>
      <c r="H19" s="73"/>
    </row>
    <row r="20" spans="1:8" ht="13.8" thickBot="1" x14ac:dyDescent="0.3">
      <c r="A20" s="75" t="s">
        <v>177</v>
      </c>
      <c r="B20" s="72"/>
      <c r="C20" s="73"/>
      <c r="D20" s="73"/>
      <c r="E20" s="73"/>
      <c r="F20" s="73"/>
      <c r="G20" s="76">
        <f>SUM(G8:G19)</f>
        <v>1157739.98</v>
      </c>
      <c r="H20" s="73"/>
    </row>
    <row r="21" spans="1:8" ht="13.8" thickTop="1" x14ac:dyDescent="0.25">
      <c r="A21" s="73"/>
      <c r="B21" s="69"/>
      <c r="C21" s="73"/>
      <c r="D21" s="73"/>
      <c r="E21" s="73"/>
      <c r="F21" s="73"/>
      <c r="G21" s="73"/>
      <c r="H21" s="73"/>
    </row>
    <row r="22" spans="1:8" x14ac:dyDescent="0.25">
      <c r="A22" s="75" t="s">
        <v>178</v>
      </c>
      <c r="B22" s="69"/>
      <c r="C22" s="73"/>
      <c r="D22" s="73"/>
      <c r="E22" s="73"/>
      <c r="F22" s="73"/>
      <c r="G22" s="69">
        <v>1157739.98</v>
      </c>
      <c r="H22" s="73"/>
    </row>
    <row r="23" spans="1:8" x14ac:dyDescent="0.25">
      <c r="A23" s="75" t="s">
        <v>179</v>
      </c>
      <c r="B23" s="73"/>
      <c r="C23" s="73"/>
      <c r="D23" s="73"/>
      <c r="E23" s="73"/>
      <c r="F23" s="73"/>
      <c r="G23" s="69"/>
      <c r="H23" s="73"/>
    </row>
    <row r="24" spans="1:8" x14ac:dyDescent="0.25">
      <c r="A24" s="73"/>
      <c r="B24" s="73"/>
      <c r="C24" s="73"/>
      <c r="D24" s="73"/>
      <c r="E24" s="73"/>
      <c r="F24" s="73"/>
      <c r="G24" s="73"/>
      <c r="H24" s="73"/>
    </row>
    <row r="25" spans="1:8" x14ac:dyDescent="0.25">
      <c r="A25" s="73"/>
      <c r="B25" s="73"/>
      <c r="C25" s="73"/>
      <c r="D25" s="73"/>
      <c r="E25" s="73"/>
      <c r="F25" s="73"/>
      <c r="G25" s="73"/>
      <c r="H25" s="73"/>
    </row>
    <row r="26" spans="1:8" ht="13.8" thickBot="1" x14ac:dyDescent="0.3">
      <c r="A26" s="75" t="s">
        <v>180</v>
      </c>
      <c r="B26" s="73"/>
      <c r="C26" s="73"/>
      <c r="D26" s="73"/>
      <c r="E26" s="73"/>
      <c r="F26" s="73"/>
      <c r="G26" s="77">
        <f>SUM(G22:G25)</f>
        <v>1157739.98</v>
      </c>
      <c r="H26" s="73"/>
    </row>
    <row r="27" spans="1:8" ht="15" thickTop="1" x14ac:dyDescent="0.3">
      <c r="A27" s="73"/>
      <c r="B27" s="73"/>
      <c r="C27" s="73"/>
      <c r="D27" s="73"/>
      <c r="E27" s="73"/>
      <c r="F27" s="73"/>
      <c r="G27" s="78"/>
      <c r="H27" s="73"/>
    </row>
    <row r="28" spans="1:8" x14ac:dyDescent="0.25">
      <c r="A28" s="75" t="s">
        <v>181</v>
      </c>
      <c r="B28" s="73"/>
      <c r="C28" s="73"/>
      <c r="D28" s="73"/>
      <c r="E28" s="73"/>
      <c r="F28" s="73"/>
      <c r="G28" s="79">
        <f>G20-G26</f>
        <v>0</v>
      </c>
      <c r="H28" s="73"/>
    </row>
    <row r="29" spans="1:8" x14ac:dyDescent="0.25">
      <c r="A29" s="73"/>
      <c r="B29" s="73"/>
      <c r="C29" s="73"/>
      <c r="D29" s="73"/>
      <c r="E29" s="73"/>
      <c r="F29" s="73"/>
      <c r="G29" s="73"/>
      <c r="H29" s="73"/>
    </row>
    <row r="30" spans="1:8" ht="11.25" customHeight="1" x14ac:dyDescent="0.25">
      <c r="A30" s="73"/>
      <c r="B30" s="73"/>
      <c r="C30" s="73"/>
      <c r="D30" s="73"/>
      <c r="E30" s="73"/>
      <c r="F30" s="73"/>
      <c r="G30" s="73"/>
      <c r="H30" s="73"/>
    </row>
    <row r="31" spans="1:8" x14ac:dyDescent="0.25">
      <c r="A31" s="80" t="s">
        <v>182</v>
      </c>
      <c r="B31" s="80"/>
      <c r="C31" s="80"/>
      <c r="D31" s="92"/>
      <c r="E31" s="80"/>
      <c r="F31" s="80"/>
      <c r="G31" s="80"/>
      <c r="H31" s="80"/>
    </row>
    <row r="32" spans="1:8" ht="14.4" x14ac:dyDescent="0.3">
      <c r="A32" s="80" t="s">
        <v>183</v>
      </c>
      <c r="B32" s="94">
        <f>1014869.83+290.6+313.54+284.82+266.51+283.15+266.5+275.65+302.94+257.74+275.99+257.66</f>
        <v>1017944.9299999999</v>
      </c>
      <c r="C32" s="80"/>
      <c r="D32" s="82">
        <f>B32/B34</f>
        <v>0.87925177292400314</v>
      </c>
      <c r="E32" s="69">
        <f>D32*0</f>
        <v>0</v>
      </c>
      <c r="F32" s="80"/>
      <c r="G32" s="80"/>
      <c r="H32" s="80"/>
    </row>
    <row r="33" spans="1:8" ht="14.4" x14ac:dyDescent="0.3">
      <c r="A33" s="80" t="s">
        <v>145</v>
      </c>
      <c r="B33" s="94">
        <f>564104.69+161.52-78.5-225000+104.76+94.94+88.84+94.61-200000+36.6+37.85+41.31+35.15+37.9+35.38</f>
        <v>139795.04999999999</v>
      </c>
      <c r="C33" s="80" t="s">
        <v>184</v>
      </c>
      <c r="D33" s="82">
        <f>B33/B34</f>
        <v>0.12074822707599679</v>
      </c>
      <c r="E33" s="69">
        <f>-E32+0</f>
        <v>0</v>
      </c>
      <c r="F33" s="83" t="s">
        <v>198</v>
      </c>
      <c r="G33" s="84">
        <f>E33*1</f>
        <v>0</v>
      </c>
      <c r="H33" s="80"/>
    </row>
    <row r="34" spans="1:8" ht="15" thickBot="1" x14ac:dyDescent="0.35">
      <c r="A34" s="80"/>
      <c r="B34" s="93">
        <f>SUM(B32:B33)</f>
        <v>1157739.98</v>
      </c>
      <c r="C34" s="80"/>
      <c r="D34" s="86">
        <f>SUM(D32:D33)</f>
        <v>0.99999999999999989</v>
      </c>
      <c r="E34" s="87"/>
      <c r="F34" s="83" t="s">
        <v>199</v>
      </c>
      <c r="G34" s="84">
        <f>E33*0</f>
        <v>0</v>
      </c>
      <c r="H34" s="80"/>
    </row>
    <row r="35" spans="1:8" ht="13.8" thickTop="1" x14ac:dyDescent="0.25">
      <c r="A35" s="80"/>
      <c r="B35" s="80"/>
      <c r="C35" s="80"/>
      <c r="D35" s="80"/>
      <c r="E35" s="80"/>
      <c r="F35" s="88"/>
      <c r="G35" s="80"/>
      <c r="H35" s="80"/>
    </row>
    <row r="36" spans="1:8" x14ac:dyDescent="0.25">
      <c r="A36" s="83" t="s">
        <v>187</v>
      </c>
      <c r="B36" s="80"/>
      <c r="C36" s="80"/>
      <c r="D36" s="80"/>
      <c r="E36" s="80"/>
      <c r="F36" s="80"/>
      <c r="G36" s="80"/>
      <c r="H36" s="80"/>
    </row>
    <row r="38" spans="1:8" ht="14.4" x14ac:dyDescent="0.3">
      <c r="A38" s="89">
        <v>0</v>
      </c>
      <c r="B38" s="90">
        <f>A38/B33</f>
        <v>0</v>
      </c>
    </row>
  </sheetData>
  <mergeCells count="4">
    <mergeCell ref="A1:H1"/>
    <mergeCell ref="A2:H2"/>
    <mergeCell ref="A3:H3"/>
    <mergeCell ref="A4:H4"/>
  </mergeCells>
  <pageMargins left="0.54" right="0.45" top="0.52" bottom="0.48" header="0.37" footer="0.22"/>
  <pageSetup scale="9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2"/>
  <sheetViews>
    <sheetView zoomScaleNormal="100" workbookViewId="0">
      <selection activeCell="B10" sqref="B10"/>
    </sheetView>
  </sheetViews>
  <sheetFormatPr defaultColWidth="9.109375" defaultRowHeight="15" x14ac:dyDescent="0.25"/>
  <cols>
    <col min="1" max="1" width="49.44140625" style="2" bestFit="1" customWidth="1"/>
    <col min="2" max="4" width="19.109375" style="2" customWidth="1"/>
    <col min="5" max="5" width="5.88671875" style="2" customWidth="1"/>
    <col min="6" max="7" width="9.109375" style="2"/>
    <col min="8" max="8" width="15.6640625" style="2" customWidth="1"/>
    <col min="9" max="9" width="3.5546875" style="2" customWidth="1"/>
    <col min="10" max="10" width="15.109375" style="2" bestFit="1" customWidth="1"/>
    <col min="11" max="16384" width="9.109375" style="2"/>
  </cols>
  <sheetData>
    <row r="1" spans="1:10" ht="15.6" x14ac:dyDescent="0.3">
      <c r="A1" s="96" t="s">
        <v>0</v>
      </c>
      <c r="B1" s="96"/>
      <c r="C1" s="96"/>
      <c r="D1" s="96"/>
      <c r="E1" s="1"/>
      <c r="F1" s="1"/>
    </row>
    <row r="2" spans="1:10" ht="15.6" x14ac:dyDescent="0.3">
      <c r="A2" s="96" t="s">
        <v>1</v>
      </c>
      <c r="B2" s="96"/>
      <c r="C2" s="96"/>
      <c r="D2" s="96"/>
      <c r="E2" s="1"/>
      <c r="F2" s="1"/>
    </row>
    <row r="3" spans="1:10" ht="15.6" x14ac:dyDescent="0.3">
      <c r="A3" s="96" t="s">
        <v>119</v>
      </c>
      <c r="B3" s="96"/>
      <c r="C3" s="96"/>
      <c r="D3" s="96"/>
      <c r="E3" s="1"/>
      <c r="F3" s="1"/>
    </row>
    <row r="4" spans="1:10" ht="15.6" x14ac:dyDescent="0.3">
      <c r="A4" s="53"/>
      <c r="B4" s="53"/>
      <c r="C4" s="53"/>
      <c r="D4" s="53"/>
      <c r="E4" s="1"/>
      <c r="F4" s="1"/>
    </row>
    <row r="5" spans="1:10" ht="15.6" x14ac:dyDescent="0.3">
      <c r="A5" s="53"/>
      <c r="B5" s="53"/>
      <c r="C5" s="53"/>
      <c r="D5" s="53"/>
      <c r="E5" s="1"/>
      <c r="F5" s="1"/>
    </row>
    <row r="6" spans="1:10" x14ac:dyDescent="0.25">
      <c r="A6" s="1"/>
      <c r="B6" s="1"/>
      <c r="C6" s="1"/>
      <c r="D6" s="4"/>
      <c r="E6" s="1"/>
      <c r="F6" s="1"/>
    </row>
    <row r="7" spans="1:10" x14ac:dyDescent="0.25">
      <c r="A7" s="1"/>
      <c r="B7" s="1"/>
      <c r="C7" s="1"/>
      <c r="D7" s="1"/>
      <c r="E7" s="1"/>
      <c r="F7" s="1"/>
      <c r="G7" s="5"/>
      <c r="H7" s="5"/>
      <c r="I7" s="5"/>
      <c r="J7" s="5"/>
    </row>
    <row r="8" spans="1:10" ht="15.6" x14ac:dyDescent="0.3">
      <c r="A8" s="6"/>
      <c r="B8" s="7"/>
      <c r="C8" s="7"/>
      <c r="D8" s="8"/>
      <c r="E8" s="1"/>
      <c r="F8" s="1"/>
      <c r="G8" s="5"/>
      <c r="H8" s="9"/>
      <c r="I8" s="5"/>
      <c r="J8" s="9"/>
    </row>
    <row r="9" spans="1:10" ht="15.6" x14ac:dyDescent="0.3">
      <c r="A9" s="6" t="s">
        <v>3</v>
      </c>
      <c r="B9" s="7">
        <v>323988.93</v>
      </c>
      <c r="C9" s="7"/>
      <c r="D9" s="8"/>
      <c r="E9" s="1"/>
      <c r="F9" s="1"/>
      <c r="G9" s="5"/>
      <c r="H9" s="9"/>
      <c r="I9" s="5"/>
      <c r="J9" s="9"/>
    </row>
    <row r="10" spans="1:10" ht="15.6" x14ac:dyDescent="0.3">
      <c r="A10" s="6" t="s">
        <v>110</v>
      </c>
      <c r="B10" s="10">
        <f>211446.28-24779.88+78.5-111574.11-91733.52+58333.33-161400.29-115889.95+5967.94-32783.42-21270.42-422010.42-15217.38-658.38+504110.83-401563.36+730.05</f>
        <v>-618214.19999999995</v>
      </c>
      <c r="C10" s="10"/>
      <c r="D10" s="8"/>
      <c r="E10" s="1"/>
      <c r="F10" s="1"/>
      <c r="G10" s="5"/>
      <c r="H10" s="9"/>
      <c r="I10" s="5"/>
      <c r="J10" s="9"/>
    </row>
    <row r="11" spans="1:10" ht="15.6" x14ac:dyDescent="0.3">
      <c r="A11" s="6" t="s">
        <v>5</v>
      </c>
      <c r="B11" s="10">
        <v>0</v>
      </c>
      <c r="C11" s="11"/>
      <c r="D11" s="8"/>
      <c r="E11" s="1"/>
      <c r="F11" s="1"/>
      <c r="H11" s="12"/>
    </row>
    <row r="12" spans="1:10" ht="15.6" x14ac:dyDescent="0.3">
      <c r="A12" s="6" t="s">
        <v>6</v>
      </c>
      <c r="B12" s="10">
        <v>0</v>
      </c>
      <c r="C12" s="11"/>
      <c r="D12" s="8"/>
      <c r="E12" s="1"/>
      <c r="F12" s="1"/>
      <c r="H12" s="12"/>
    </row>
    <row r="13" spans="1:10" ht="15.6" x14ac:dyDescent="0.3">
      <c r="A13" s="6" t="s">
        <v>7</v>
      </c>
      <c r="B13" s="10">
        <v>0</v>
      </c>
      <c r="C13" s="11"/>
      <c r="D13" s="8"/>
      <c r="E13" s="1"/>
      <c r="F13" s="1"/>
      <c r="H13" s="12"/>
    </row>
    <row r="14" spans="1:10" ht="15.6" x14ac:dyDescent="0.3">
      <c r="A14" s="6" t="s">
        <v>8</v>
      </c>
      <c r="B14" s="10">
        <v>0</v>
      </c>
      <c r="C14" s="11"/>
      <c r="D14" s="8"/>
      <c r="E14" s="1"/>
      <c r="F14" s="1"/>
      <c r="H14" s="12"/>
    </row>
    <row r="15" spans="1:10" ht="15.6" x14ac:dyDescent="0.3">
      <c r="A15" s="6" t="s">
        <v>55</v>
      </c>
      <c r="B15" s="13">
        <v>4015.15</v>
      </c>
      <c r="C15" s="14"/>
      <c r="D15" s="8"/>
      <c r="E15" s="1"/>
      <c r="F15" s="1"/>
      <c r="H15" s="12"/>
    </row>
    <row r="16" spans="1:10" ht="15.6" x14ac:dyDescent="0.3">
      <c r="A16" s="15" t="s">
        <v>9</v>
      </c>
      <c r="B16" s="7"/>
      <c r="C16" s="7">
        <f>SUM(B8:B15)</f>
        <v>-290210.11999999994</v>
      </c>
      <c r="D16" s="8"/>
      <c r="E16" s="1"/>
      <c r="F16" s="1"/>
      <c r="G16" s="5"/>
      <c r="H16" s="16"/>
      <c r="I16" s="17"/>
      <c r="J16" s="16"/>
    </row>
    <row r="17" spans="1:8" x14ac:dyDescent="0.25">
      <c r="A17" s="1"/>
      <c r="B17" s="7"/>
      <c r="C17" s="7"/>
      <c r="D17" s="8"/>
      <c r="E17" s="1"/>
      <c r="F17" s="1"/>
    </row>
    <row r="18" spans="1:8" ht="15.6" x14ac:dyDescent="0.3">
      <c r="A18" s="6" t="s">
        <v>10</v>
      </c>
      <c r="B18" s="18">
        <v>1248020.5900000001</v>
      </c>
      <c r="C18" s="7"/>
      <c r="D18" s="8"/>
      <c r="E18" s="1"/>
      <c r="F18" s="1"/>
      <c r="H18" s="12"/>
    </row>
    <row r="19" spans="1:8" ht="15.6" x14ac:dyDescent="0.3">
      <c r="A19" s="6" t="s">
        <v>11</v>
      </c>
      <c r="B19" s="7">
        <f>-+B10+1086927.6</f>
        <v>1705141.8</v>
      </c>
      <c r="C19" s="10"/>
      <c r="D19" s="8"/>
      <c r="E19" s="1"/>
      <c r="F19" s="1"/>
      <c r="H19" s="12"/>
    </row>
    <row r="20" spans="1:8" ht="15.6" x14ac:dyDescent="0.3">
      <c r="A20" s="6" t="s">
        <v>12</v>
      </c>
      <c r="B20" s="7">
        <v>1157446.94</v>
      </c>
      <c r="C20" s="11"/>
      <c r="D20" s="8"/>
      <c r="E20" s="1"/>
      <c r="F20" s="1"/>
      <c r="H20" s="12"/>
    </row>
    <row r="21" spans="1:8" ht="15.6" x14ac:dyDescent="0.3">
      <c r="A21" s="6" t="s">
        <v>13</v>
      </c>
      <c r="B21" s="19">
        <f>2800+1665+10327.23</f>
        <v>14792.23</v>
      </c>
      <c r="C21" s="13"/>
      <c r="D21" s="8"/>
      <c r="E21" s="1"/>
      <c r="F21" s="1"/>
      <c r="H21" s="12"/>
    </row>
    <row r="22" spans="1:8" ht="15.6" x14ac:dyDescent="0.3">
      <c r="A22" s="6" t="s">
        <v>14</v>
      </c>
      <c r="B22" s="10"/>
      <c r="C22" s="54">
        <f>SUM(B18:B21)</f>
        <v>4125401.56</v>
      </c>
      <c r="D22" s="8"/>
      <c r="E22" s="1"/>
      <c r="F22" s="1"/>
      <c r="H22" s="12"/>
    </row>
    <row r="23" spans="1:8" ht="6" customHeight="1" x14ac:dyDescent="0.3">
      <c r="A23" s="6"/>
      <c r="B23" s="10"/>
      <c r="C23" s="10"/>
      <c r="D23" s="8"/>
      <c r="E23" s="1"/>
      <c r="F23" s="1"/>
      <c r="H23" s="12"/>
    </row>
    <row r="24" spans="1:8" ht="15.6" x14ac:dyDescent="0.3">
      <c r="A24" s="6" t="s">
        <v>15</v>
      </c>
      <c r="B24" s="7"/>
      <c r="C24" s="20">
        <f>C16+C22</f>
        <v>3835191.44</v>
      </c>
      <c r="D24" s="8"/>
      <c r="E24" s="1"/>
      <c r="F24" s="1"/>
      <c r="H24" s="12"/>
    </row>
    <row r="25" spans="1:8" ht="6" customHeight="1" x14ac:dyDescent="0.25">
      <c r="A25" s="1"/>
      <c r="B25" s="7"/>
      <c r="C25" s="7"/>
      <c r="D25" s="8"/>
      <c r="E25" s="1"/>
      <c r="F25" s="1"/>
    </row>
    <row r="26" spans="1:8" ht="15.6" x14ac:dyDescent="0.3">
      <c r="A26" s="6" t="s">
        <v>16</v>
      </c>
      <c r="B26" s="7"/>
      <c r="C26" s="10">
        <v>0</v>
      </c>
      <c r="D26" s="21"/>
      <c r="E26" s="1"/>
      <c r="F26" s="1"/>
      <c r="H26" s="22"/>
    </row>
    <row r="27" spans="1:8" ht="6" customHeight="1" x14ac:dyDescent="0.3">
      <c r="A27" s="6"/>
      <c r="B27" s="10"/>
      <c r="C27" s="10"/>
      <c r="D27" s="21"/>
      <c r="E27" s="1"/>
      <c r="F27" s="1"/>
      <c r="H27" s="22"/>
    </row>
    <row r="28" spans="1:8" ht="16.2" thickBot="1" x14ac:dyDescent="0.35">
      <c r="A28" s="6" t="s">
        <v>17</v>
      </c>
      <c r="B28" s="7"/>
      <c r="C28" s="23">
        <f>C16+B30</f>
        <v>3835191.44</v>
      </c>
      <c r="E28" s="1"/>
      <c r="F28" s="1"/>
      <c r="H28" s="22"/>
    </row>
    <row r="29" spans="1:8" ht="15.6" thickTop="1" x14ac:dyDescent="0.25">
      <c r="A29" s="1"/>
      <c r="B29" s="1"/>
      <c r="C29" s="1"/>
      <c r="D29" s="1"/>
      <c r="E29" s="1"/>
      <c r="F29" s="1"/>
    </row>
    <row r="30" spans="1:8" ht="16.2" thickBot="1" x14ac:dyDescent="0.35">
      <c r="A30" s="24" t="s">
        <v>18</v>
      </c>
      <c r="B30" s="25">
        <f>C22+C26</f>
        <v>4125401.56</v>
      </c>
      <c r="C30" s="26"/>
      <c r="D30" s="27"/>
      <c r="E30" s="26"/>
      <c r="F30" s="26"/>
    </row>
    <row r="31" spans="1:8" ht="16.2" thickTop="1" x14ac:dyDescent="0.3">
      <c r="A31" s="24"/>
      <c r="B31" s="10"/>
      <c r="C31" s="26"/>
      <c r="D31" s="27"/>
      <c r="E31" s="26"/>
      <c r="F31" s="26"/>
    </row>
    <row r="32" spans="1:8" ht="5.25" customHeight="1" x14ac:dyDescent="0.3">
      <c r="A32" s="24"/>
      <c r="B32" s="10"/>
      <c r="C32" s="26"/>
      <c r="D32" s="27"/>
      <c r="E32" s="26"/>
      <c r="F32" s="26"/>
    </row>
    <row r="33" spans="1:6" ht="15.6" x14ac:dyDescent="0.3">
      <c r="A33" s="28" t="s">
        <v>122</v>
      </c>
      <c r="B33" s="1"/>
      <c r="C33" s="1"/>
      <c r="D33" s="1"/>
      <c r="E33" s="1"/>
      <c r="F33" s="1"/>
    </row>
    <row r="34" spans="1:6" ht="15.6" x14ac:dyDescent="0.3">
      <c r="A34" s="29" t="s">
        <v>115</v>
      </c>
      <c r="B34" s="1"/>
      <c r="C34" s="1"/>
      <c r="D34" s="1"/>
      <c r="E34" s="1"/>
      <c r="F34" s="1"/>
    </row>
    <row r="35" spans="1:6" ht="15.6" x14ac:dyDescent="0.3">
      <c r="A35" s="6" t="s">
        <v>123</v>
      </c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ht="15.6" x14ac:dyDescent="0.3">
      <c r="A37" s="6" t="s">
        <v>22</v>
      </c>
      <c r="B37" s="1"/>
      <c r="C37" s="1"/>
      <c r="D37" s="1"/>
      <c r="E37" s="1"/>
      <c r="F37" s="1"/>
    </row>
    <row r="38" spans="1:6" ht="15.6" hidden="1" x14ac:dyDescent="0.3">
      <c r="A38" s="6" t="s">
        <v>25</v>
      </c>
      <c r="B38" s="7"/>
      <c r="C38" s="10"/>
      <c r="D38" s="1"/>
      <c r="E38" s="1"/>
      <c r="F38" s="1"/>
    </row>
    <row r="39" spans="1:6" ht="15.6" x14ac:dyDescent="0.3">
      <c r="A39" s="6" t="s">
        <v>26</v>
      </c>
      <c r="B39" s="7">
        <f>113322.3-107176.75</f>
        <v>6145.5500000000029</v>
      </c>
      <c r="C39" s="10"/>
      <c r="D39" s="1"/>
      <c r="E39" s="1"/>
      <c r="F39" s="1"/>
    </row>
    <row r="40" spans="1:6" ht="15.6" thickBot="1" x14ac:dyDescent="0.3">
      <c r="A40" s="1"/>
      <c r="B40" s="30">
        <f>SUM(B38:B39)</f>
        <v>6145.5500000000029</v>
      </c>
      <c r="C40" s="31"/>
      <c r="D40" s="1"/>
      <c r="E40" s="1"/>
      <c r="F40" s="1"/>
    </row>
    <row r="41" spans="1:6" ht="15.6" thickTop="1" x14ac:dyDescent="0.25">
      <c r="A41" s="1"/>
      <c r="B41" s="1"/>
      <c r="C41" s="32"/>
      <c r="D41" s="1"/>
      <c r="E41" s="1"/>
      <c r="F41" s="1"/>
    </row>
    <row r="42" spans="1:6" ht="15.6" x14ac:dyDescent="0.3">
      <c r="A42" s="52" t="s">
        <v>111</v>
      </c>
    </row>
  </sheetData>
  <mergeCells count="3">
    <mergeCell ref="A1:D1"/>
    <mergeCell ref="A2:D2"/>
    <mergeCell ref="A3:D3"/>
  </mergeCells>
  <pageMargins left="0.45" right="0.2" top="0.75" bottom="0.75" header="0.3" footer="0.3"/>
  <pageSetup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5"/>
  <sheetViews>
    <sheetView topLeftCell="A4" workbookViewId="0">
      <selection activeCell="B23" sqref="B23"/>
    </sheetView>
  </sheetViews>
  <sheetFormatPr defaultRowHeight="14.4" x14ac:dyDescent="0.3"/>
  <cols>
    <col min="1" max="1" width="26.33203125" customWidth="1"/>
    <col min="2" max="2" width="14.6640625" bestFit="1" customWidth="1"/>
    <col min="6" max="6" width="13.33203125" customWidth="1"/>
  </cols>
  <sheetData>
    <row r="1" spans="1:4" x14ac:dyDescent="0.3">
      <c r="A1" s="33" t="s">
        <v>118</v>
      </c>
    </row>
    <row r="2" spans="1:4" x14ac:dyDescent="0.3">
      <c r="A2" t="s">
        <v>29</v>
      </c>
      <c r="B2" s="34">
        <v>3877728.28</v>
      </c>
    </row>
    <row r="3" spans="1:4" x14ac:dyDescent="0.3">
      <c r="A3" t="s">
        <v>30</v>
      </c>
      <c r="B3" s="35">
        <v>0</v>
      </c>
    </row>
    <row r="4" spans="1:4" x14ac:dyDescent="0.3">
      <c r="A4" t="s">
        <v>31</v>
      </c>
      <c r="B4" s="34">
        <v>666976.93000000005</v>
      </c>
    </row>
    <row r="5" spans="1:4" x14ac:dyDescent="0.3">
      <c r="A5" t="s">
        <v>32</v>
      </c>
      <c r="B5" s="34">
        <f>-523709.1+32</f>
        <v>-523677.1</v>
      </c>
      <c r="D5" s="35"/>
    </row>
    <row r="6" spans="1:4" x14ac:dyDescent="0.3">
      <c r="A6" t="s">
        <v>33</v>
      </c>
      <c r="B6" s="34">
        <f>84992.92+66547.6</f>
        <v>151540.52000000002</v>
      </c>
      <c r="C6" t="s">
        <v>121</v>
      </c>
    </row>
    <row r="7" spans="1:4" x14ac:dyDescent="0.3">
      <c r="A7" t="s">
        <v>35</v>
      </c>
      <c r="B7" s="34">
        <f>-6438.37+658.38</f>
        <v>-5779.99</v>
      </c>
    </row>
    <row r="8" spans="1:4" x14ac:dyDescent="0.3">
      <c r="A8" t="s">
        <v>91</v>
      </c>
      <c r="B8" s="34">
        <f>11.82+27.43</f>
        <v>39.25</v>
      </c>
    </row>
    <row r="9" spans="1:4" x14ac:dyDescent="0.3">
      <c r="A9" t="s">
        <v>36</v>
      </c>
      <c r="B9" s="36">
        <v>216747.4</v>
      </c>
      <c r="C9" t="s">
        <v>37</v>
      </c>
    </row>
    <row r="10" spans="1:4" x14ac:dyDescent="0.3">
      <c r="A10" t="s">
        <v>38</v>
      </c>
      <c r="B10" s="34">
        <v>-258487.62</v>
      </c>
    </row>
    <row r="11" spans="1:4" x14ac:dyDescent="0.3">
      <c r="A11" t="s">
        <v>39</v>
      </c>
      <c r="B11" s="34">
        <v>313.89</v>
      </c>
    </row>
    <row r="12" spans="1:4" x14ac:dyDescent="0.3">
      <c r="A12" t="s">
        <v>40</v>
      </c>
      <c r="B12" s="34">
        <v>0</v>
      </c>
      <c r="C12" t="s">
        <v>63</v>
      </c>
    </row>
    <row r="13" spans="1:4" x14ac:dyDescent="0.3">
      <c r="A13" t="s">
        <v>16</v>
      </c>
      <c r="B13" s="34">
        <v>0</v>
      </c>
    </row>
    <row r="14" spans="1:4" x14ac:dyDescent="0.3">
      <c r="A14" t="s">
        <v>42</v>
      </c>
      <c r="B14" s="34"/>
    </row>
    <row r="15" spans="1:4" x14ac:dyDescent="0.3">
      <c r="A15" t="s">
        <v>57</v>
      </c>
      <c r="B15" s="34"/>
    </row>
    <row r="16" spans="1:4" x14ac:dyDescent="0.3">
      <c r="A16" t="s">
        <v>43</v>
      </c>
      <c r="B16" s="37">
        <f>SUM(B2:B15)</f>
        <v>4125401.56</v>
      </c>
    </row>
    <row r="17" spans="1:3" x14ac:dyDescent="0.3">
      <c r="A17" t="s">
        <v>44</v>
      </c>
      <c r="B17" s="34">
        <v>-4125401.56</v>
      </c>
    </row>
    <row r="18" spans="1:3" ht="15" thickBot="1" x14ac:dyDescent="0.35">
      <c r="A18" t="s">
        <v>45</v>
      </c>
      <c r="B18" s="55">
        <f>SUM(B16:B17)</f>
        <v>0</v>
      </c>
    </row>
    <row r="19" spans="1:3" ht="15" thickTop="1" x14ac:dyDescent="0.3">
      <c r="B19" s="39"/>
    </row>
    <row r="20" spans="1:3" x14ac:dyDescent="0.3">
      <c r="A20" t="s">
        <v>29</v>
      </c>
      <c r="B20" s="35">
        <v>-449870.61</v>
      </c>
    </row>
    <row r="21" spans="1:3" x14ac:dyDescent="0.3">
      <c r="A21" t="s">
        <v>56</v>
      </c>
      <c r="B21" s="34"/>
    </row>
    <row r="22" spans="1:3" x14ac:dyDescent="0.3">
      <c r="A22" t="s">
        <v>72</v>
      </c>
      <c r="B22" s="34">
        <f>504110.83</f>
        <v>504110.83</v>
      </c>
    </row>
    <row r="23" spans="1:3" x14ac:dyDescent="0.3">
      <c r="A23" t="s">
        <v>46</v>
      </c>
      <c r="B23" s="34">
        <f>-15217.38-658.38-401563.36</f>
        <v>-417439.12</v>
      </c>
      <c r="C23" t="s">
        <v>120</v>
      </c>
    </row>
    <row r="24" spans="1:3" x14ac:dyDescent="0.3">
      <c r="A24" t="s">
        <v>33</v>
      </c>
      <c r="B24" s="34"/>
    </row>
    <row r="25" spans="1:3" x14ac:dyDescent="0.3">
      <c r="A25" t="s">
        <v>39</v>
      </c>
      <c r="B25" s="34"/>
    </row>
    <row r="26" spans="1:3" x14ac:dyDescent="0.3">
      <c r="A26" t="s">
        <v>40</v>
      </c>
      <c r="B26" s="34"/>
    </row>
    <row r="27" spans="1:3" x14ac:dyDescent="0.3">
      <c r="A27" t="s">
        <v>48</v>
      </c>
      <c r="B27" s="34">
        <v>73028.03</v>
      </c>
    </row>
    <row r="28" spans="1:3" x14ac:dyDescent="0.3">
      <c r="A28" t="s">
        <v>42</v>
      </c>
      <c r="B28" s="34"/>
    </row>
    <row r="29" spans="1:3" x14ac:dyDescent="0.3">
      <c r="A29" t="s">
        <v>49</v>
      </c>
      <c r="B29" s="34">
        <v>-11.82</v>
      </c>
    </row>
    <row r="30" spans="1:3" x14ac:dyDescent="0.3">
      <c r="A30" t="s">
        <v>50</v>
      </c>
      <c r="B30" s="34">
        <v>-27.43</v>
      </c>
    </row>
    <row r="31" spans="1:3" x14ac:dyDescent="0.3">
      <c r="A31" t="s">
        <v>57</v>
      </c>
      <c r="B31" s="34"/>
    </row>
    <row r="32" spans="1:3" x14ac:dyDescent="0.3">
      <c r="A32" t="s">
        <v>51</v>
      </c>
      <c r="B32" s="40">
        <f>SUM(B20:B31)</f>
        <v>-290210.12</v>
      </c>
    </row>
    <row r="33" spans="1:2" x14ac:dyDescent="0.3">
      <c r="A33" t="s">
        <v>52</v>
      </c>
      <c r="B33" s="35">
        <v>290210.12</v>
      </c>
    </row>
    <row r="34" spans="1:2" ht="15" thickBot="1" x14ac:dyDescent="0.35">
      <c r="A34" t="s">
        <v>45</v>
      </c>
      <c r="B34" s="41">
        <f>SUM(B32:B33)</f>
        <v>0</v>
      </c>
    </row>
    <row r="35" spans="1:2" ht="15" thickTop="1" x14ac:dyDescent="0.3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F24DB098EBB44A512B99EF186334E" ma:contentTypeVersion="" ma:contentTypeDescription="Create a new document." ma:contentTypeScope="" ma:versionID="fe920f2e0af0ef92d8699f70125886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3e687d5f98ee29b9cfcc2ff24550dc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9C0934-1491-48B8-9461-AC6398FF75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D22B0E-5861-453E-B266-77726AC6B7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8B7F8B-E4A3-4443-8BC1-CF3DB72217D4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57</vt:i4>
      </vt:variant>
    </vt:vector>
  </HeadingPairs>
  <TitlesOfParts>
    <vt:vector size="114" baseType="lpstr">
      <vt:lpstr>Jun 15Final</vt:lpstr>
      <vt:lpstr>Jun 15</vt:lpstr>
      <vt:lpstr>Jun Recon</vt:lpstr>
      <vt:lpstr>MM Jun15</vt:lpstr>
      <vt:lpstr>May 15</vt:lpstr>
      <vt:lpstr>May Recon</vt:lpstr>
      <vt:lpstr>MM May15</vt:lpstr>
      <vt:lpstr>Apr 15</vt:lpstr>
      <vt:lpstr>Apr Recon</vt:lpstr>
      <vt:lpstr>MM Apr15</vt:lpstr>
      <vt:lpstr>Mar 15</vt:lpstr>
      <vt:lpstr>Mar Recon</vt:lpstr>
      <vt:lpstr>MM Mar15</vt:lpstr>
      <vt:lpstr>Feb15</vt:lpstr>
      <vt:lpstr>Feb Recon</vt:lpstr>
      <vt:lpstr>MM Feb15</vt:lpstr>
      <vt:lpstr>Jan15</vt:lpstr>
      <vt:lpstr>Jan Recon</vt:lpstr>
      <vt:lpstr>MM Jan15</vt:lpstr>
      <vt:lpstr>Dec14</vt:lpstr>
      <vt:lpstr>Dec Recon</vt:lpstr>
      <vt:lpstr>MM Dec14</vt:lpstr>
      <vt:lpstr>Nov14</vt:lpstr>
      <vt:lpstr>Nov Recon</vt:lpstr>
      <vt:lpstr>MM Nov14</vt:lpstr>
      <vt:lpstr>Oct 14</vt:lpstr>
      <vt:lpstr>Oct Recon</vt:lpstr>
      <vt:lpstr>MM Oct14</vt:lpstr>
      <vt:lpstr>Sep 14</vt:lpstr>
      <vt:lpstr>Sep Recon</vt:lpstr>
      <vt:lpstr>MM Sep14</vt:lpstr>
      <vt:lpstr>Aug 14</vt:lpstr>
      <vt:lpstr>Aug Recon</vt:lpstr>
      <vt:lpstr>MM Aug14</vt:lpstr>
      <vt:lpstr>July14</vt:lpstr>
      <vt:lpstr>July Recon</vt:lpstr>
      <vt:lpstr>MM JUL14</vt:lpstr>
      <vt:lpstr>June14</vt:lpstr>
      <vt:lpstr>June Recon</vt:lpstr>
      <vt:lpstr>MM JUN14</vt:lpstr>
      <vt:lpstr>Cash Update</vt:lpstr>
      <vt:lpstr>May14</vt:lpstr>
      <vt:lpstr>May 14 Recon</vt:lpstr>
      <vt:lpstr>MM May14</vt:lpstr>
      <vt:lpstr>Apr14</vt:lpstr>
      <vt:lpstr>Apr14 Recon</vt:lpstr>
      <vt:lpstr>MM Apr14</vt:lpstr>
      <vt:lpstr>Mar14</vt:lpstr>
      <vt:lpstr>Mar14 Recon</vt:lpstr>
      <vt:lpstr>MM Mar14</vt:lpstr>
      <vt:lpstr>FEB14</vt:lpstr>
      <vt:lpstr>Feb14 Recon</vt:lpstr>
      <vt:lpstr>MM Feb14</vt:lpstr>
      <vt:lpstr>JAN14</vt:lpstr>
      <vt:lpstr>Jan14 Recon</vt:lpstr>
      <vt:lpstr>MM Jan14</vt:lpstr>
      <vt:lpstr>MM Dec13</vt:lpstr>
      <vt:lpstr>'Apr 15'!Print_Area</vt:lpstr>
      <vt:lpstr>'Apr Recon'!Print_Area</vt:lpstr>
      <vt:lpstr>'Apr14'!Print_Area</vt:lpstr>
      <vt:lpstr>'Apr14 Recon'!Print_Area</vt:lpstr>
      <vt:lpstr>'Aug 14'!Print_Area</vt:lpstr>
      <vt:lpstr>'Aug Recon'!Print_Area</vt:lpstr>
      <vt:lpstr>'Cash Update'!Print_Area</vt:lpstr>
      <vt:lpstr>'Dec Recon'!Print_Area</vt:lpstr>
      <vt:lpstr>'Dec14'!Print_Area</vt:lpstr>
      <vt:lpstr>'Feb Recon'!Print_Area</vt:lpstr>
      <vt:lpstr>'FEB14'!Print_Area</vt:lpstr>
      <vt:lpstr>'Feb14 Recon'!Print_Area</vt:lpstr>
      <vt:lpstr>'Feb15'!Print_Area</vt:lpstr>
      <vt:lpstr>'Jan Recon'!Print_Area</vt:lpstr>
      <vt:lpstr>'JAN14'!Print_Area</vt:lpstr>
      <vt:lpstr>'Jan14 Recon'!Print_Area</vt:lpstr>
      <vt:lpstr>'Jan15'!Print_Area</vt:lpstr>
      <vt:lpstr>'July Recon'!Print_Area</vt:lpstr>
      <vt:lpstr>July14!Print_Area</vt:lpstr>
      <vt:lpstr>'Jun 15'!Print_Area</vt:lpstr>
      <vt:lpstr>'Jun 15Final'!Print_Area</vt:lpstr>
      <vt:lpstr>'Jun Recon'!Print_Area</vt:lpstr>
      <vt:lpstr>'June Recon'!Print_Area</vt:lpstr>
      <vt:lpstr>June14!Print_Area</vt:lpstr>
      <vt:lpstr>'Mar 15'!Print_Area</vt:lpstr>
      <vt:lpstr>'Mar Recon'!Print_Area</vt:lpstr>
      <vt:lpstr>'Mar14'!Print_Area</vt:lpstr>
      <vt:lpstr>'Mar14 Recon'!Print_Area</vt:lpstr>
      <vt:lpstr>'May 14 Recon'!Print_Area</vt:lpstr>
      <vt:lpstr>'May 15'!Print_Area</vt:lpstr>
      <vt:lpstr>'May Recon'!Print_Area</vt:lpstr>
      <vt:lpstr>'May14'!Print_Area</vt:lpstr>
      <vt:lpstr>'MM Apr14'!Print_Area</vt:lpstr>
      <vt:lpstr>'MM Apr15'!Print_Area</vt:lpstr>
      <vt:lpstr>'MM Aug14'!Print_Area</vt:lpstr>
      <vt:lpstr>'MM Dec13'!Print_Area</vt:lpstr>
      <vt:lpstr>'MM Dec14'!Print_Area</vt:lpstr>
      <vt:lpstr>'MM Feb14'!Print_Area</vt:lpstr>
      <vt:lpstr>'MM Feb15'!Print_Area</vt:lpstr>
      <vt:lpstr>'MM Jan14'!Print_Area</vt:lpstr>
      <vt:lpstr>'MM Jan15'!Print_Area</vt:lpstr>
      <vt:lpstr>'MM JUL14'!Print_Area</vt:lpstr>
      <vt:lpstr>'MM JUN14'!Print_Area</vt:lpstr>
      <vt:lpstr>'MM Jun15'!Print_Area</vt:lpstr>
      <vt:lpstr>'MM Mar14'!Print_Area</vt:lpstr>
      <vt:lpstr>'MM Mar15'!Print_Area</vt:lpstr>
      <vt:lpstr>'MM May14'!Print_Area</vt:lpstr>
      <vt:lpstr>'MM May15'!Print_Area</vt:lpstr>
      <vt:lpstr>'MM Nov14'!Print_Area</vt:lpstr>
      <vt:lpstr>'MM Oct14'!Print_Area</vt:lpstr>
      <vt:lpstr>'MM Sep14'!Print_Area</vt:lpstr>
      <vt:lpstr>'Nov Recon'!Print_Area</vt:lpstr>
      <vt:lpstr>'Nov14'!Print_Area</vt:lpstr>
      <vt:lpstr>'Oct 14'!Print_Area</vt:lpstr>
      <vt:lpstr>'Oct Recon'!Print_Area</vt:lpstr>
      <vt:lpstr>'Sep 14'!Print_Area</vt:lpstr>
      <vt:lpstr>'Sep Recon'!Print_Area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Ford</dc:creator>
  <cp:lastModifiedBy>Ken Spirito</cp:lastModifiedBy>
  <cp:lastPrinted>2015-07-17T19:14:29Z</cp:lastPrinted>
  <dcterms:created xsi:type="dcterms:W3CDTF">2014-08-11T13:34:23Z</dcterms:created>
  <dcterms:modified xsi:type="dcterms:W3CDTF">2019-08-22T03:30:19Z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0x010100AD0F24DB098EBB44A512B99EF186334E</vt:lpwstr>
  </property>
</Properties>
</file>